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workbookProtection workbookPassword="A3A3" lockStructure="1"/>
  <bookViews>
    <workbookView xWindow="135" yWindow="255" windowWidth="24345" windowHeight="10395"/>
  </bookViews>
  <sheets>
    <sheet name="Toolanleitung" sheetId="1" r:id="rId1"/>
    <sheet name="Abfrage_Ergebnis" sheetId="5" r:id="rId2"/>
    <sheet name="Öko_Möbel_Erg.Berechnung" sheetId="6" r:id="rId3"/>
    <sheet name="Öko_Möbel_QM" sheetId="2" r:id="rId4"/>
    <sheet name="TEC1.6_MÖbel_QM" sheetId="3" r:id="rId5"/>
    <sheet name="DATA" sheetId="4" state="hidden" r:id="rId6"/>
  </sheets>
  <externalReferences>
    <externalReference r:id="rId7"/>
    <externalReference r:id="rId8"/>
  </externalReferences>
  <definedNames>
    <definedName name="AUSWAHL">[1]Tabelle3!$A$31:$A$32</definedName>
    <definedName name="Möbelarten">[1]Tabelle3!$A$20:$A$27</definedName>
    <definedName name="MöbelstückeAuswahl">[1]Tabelle3!$A$2:$A$14</definedName>
    <definedName name="Möglichkeiten">[1]Tabelle2!$A$2:$A$3</definedName>
  </definedNames>
  <calcPr calcId="145621"/>
</workbook>
</file>

<file path=xl/calcChain.xml><?xml version="1.0" encoding="utf-8"?>
<calcChain xmlns="http://schemas.openxmlformats.org/spreadsheetml/2006/main">
  <c r="W91" i="2" l="1"/>
  <c r="W90" i="2"/>
  <c r="W89" i="2"/>
  <c r="W88" i="2"/>
  <c r="W87" i="2"/>
  <c r="W86" i="2"/>
  <c r="W85" i="2"/>
  <c r="F91" i="2"/>
  <c r="F90" i="2"/>
  <c r="F89" i="2"/>
  <c r="F88" i="2"/>
  <c r="F87" i="2"/>
  <c r="F86" i="2"/>
  <c r="F85" i="2"/>
  <c r="G90" i="2" l="1"/>
  <c r="G91" i="2"/>
  <c r="E24" i="5"/>
  <c r="D42" i="5"/>
  <c r="D43" i="5"/>
  <c r="E10" i="2"/>
  <c r="E11" i="2"/>
  <c r="C10" i="2"/>
  <c r="C11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15" i="2"/>
  <c r="F84" i="2" s="1"/>
  <c r="G43" i="5"/>
  <c r="G42" i="5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15" i="2"/>
  <c r="B42" i="5"/>
  <c r="B43" i="5"/>
  <c r="G11" i="2" l="1"/>
  <c r="G10" i="2"/>
  <c r="F43" i="5"/>
  <c r="F42" i="5"/>
  <c r="B52" i="5"/>
  <c r="O10" i="3"/>
  <c r="O11" i="3"/>
  <c r="O12" i="3"/>
  <c r="P12" i="3" s="1"/>
  <c r="O13" i="3"/>
  <c r="P13" i="3" s="1"/>
  <c r="O14" i="3"/>
  <c r="P14" i="3" s="1"/>
  <c r="O15" i="3"/>
  <c r="P15" i="3" s="1"/>
  <c r="O16" i="3"/>
  <c r="P16" i="3" s="1"/>
  <c r="O17" i="3"/>
  <c r="P17" i="3" s="1"/>
  <c r="O18" i="3"/>
  <c r="P18" i="3" s="1"/>
  <c r="O19" i="3"/>
  <c r="P19" i="3" s="1"/>
  <c r="O20" i="3"/>
  <c r="P20" i="3" s="1"/>
  <c r="O21" i="3"/>
  <c r="P21" i="3" s="1"/>
  <c r="O22" i="3"/>
  <c r="P22" i="3" s="1"/>
  <c r="O23" i="3"/>
  <c r="P23" i="3" s="1"/>
  <c r="O24" i="3"/>
  <c r="P24" i="3" s="1"/>
  <c r="O25" i="3"/>
  <c r="P25" i="3" s="1"/>
  <c r="O26" i="3"/>
  <c r="P26" i="3" s="1"/>
  <c r="O27" i="3"/>
  <c r="P27" i="3" s="1"/>
  <c r="O28" i="3"/>
  <c r="P28" i="3" s="1"/>
  <c r="O29" i="3"/>
  <c r="P29" i="3" s="1"/>
  <c r="O30" i="3"/>
  <c r="P30" i="3" s="1"/>
  <c r="O31" i="3"/>
  <c r="P31" i="3" s="1"/>
  <c r="O32" i="3"/>
  <c r="P32" i="3" s="1"/>
  <c r="O33" i="3"/>
  <c r="P33" i="3" s="1"/>
  <c r="O34" i="3"/>
  <c r="P34" i="3" s="1"/>
  <c r="O35" i="3"/>
  <c r="P35" i="3" s="1"/>
  <c r="O36" i="3"/>
  <c r="P36" i="3" s="1"/>
  <c r="O37" i="3"/>
  <c r="P37" i="3" s="1"/>
  <c r="O38" i="3"/>
  <c r="P38" i="3" s="1"/>
  <c r="O39" i="3"/>
  <c r="P39" i="3" s="1"/>
  <c r="O40" i="3"/>
  <c r="P40" i="3" s="1"/>
  <c r="O41" i="3"/>
  <c r="P41" i="3" s="1"/>
  <c r="O42" i="3"/>
  <c r="P42" i="3" s="1"/>
  <c r="O43" i="3"/>
  <c r="P43" i="3" s="1"/>
  <c r="O44" i="3"/>
  <c r="P44" i="3" s="1"/>
  <c r="O45" i="3"/>
  <c r="P45" i="3" s="1"/>
  <c r="O46" i="3"/>
  <c r="P46" i="3" s="1"/>
  <c r="O47" i="3"/>
  <c r="P47" i="3" s="1"/>
  <c r="O48" i="3"/>
  <c r="P48" i="3" s="1"/>
  <c r="O49" i="3"/>
  <c r="P49" i="3" s="1"/>
  <c r="O50" i="3"/>
  <c r="P50" i="3" s="1"/>
  <c r="O51" i="3"/>
  <c r="P51" i="3" s="1"/>
  <c r="O52" i="3"/>
  <c r="P52" i="3" s="1"/>
  <c r="O53" i="3"/>
  <c r="P53" i="3" s="1"/>
  <c r="O54" i="3"/>
  <c r="P54" i="3" s="1"/>
  <c r="O55" i="3"/>
  <c r="P55" i="3" s="1"/>
  <c r="O56" i="3"/>
  <c r="P56" i="3" s="1"/>
  <c r="O57" i="3"/>
  <c r="P57" i="3" s="1"/>
  <c r="O58" i="3"/>
  <c r="P58" i="3" s="1"/>
  <c r="O59" i="3"/>
  <c r="P59" i="3" s="1"/>
  <c r="O60" i="3"/>
  <c r="P60" i="3" s="1"/>
  <c r="O61" i="3"/>
  <c r="P61" i="3" s="1"/>
  <c r="O62" i="3"/>
  <c r="P62" i="3" s="1"/>
  <c r="O63" i="3"/>
  <c r="P63" i="3" s="1"/>
  <c r="O64" i="3"/>
  <c r="P64" i="3" s="1"/>
  <c r="O65" i="3"/>
  <c r="P65" i="3" s="1"/>
  <c r="O66" i="3"/>
  <c r="P66" i="3" s="1"/>
  <c r="O67" i="3"/>
  <c r="P67" i="3" s="1"/>
  <c r="O68" i="3"/>
  <c r="P68" i="3" s="1"/>
  <c r="O69" i="3"/>
  <c r="P69" i="3" s="1"/>
  <c r="O70" i="3"/>
  <c r="P70" i="3" s="1"/>
  <c r="O71" i="3"/>
  <c r="P71" i="3" s="1"/>
  <c r="O72" i="3"/>
  <c r="P72" i="3" s="1"/>
  <c r="O73" i="3"/>
  <c r="P73" i="3" s="1"/>
  <c r="O74" i="3"/>
  <c r="P74" i="3" s="1"/>
  <c r="O75" i="3"/>
  <c r="P75" i="3" s="1"/>
  <c r="O76" i="3"/>
  <c r="P76" i="3" s="1"/>
  <c r="O9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G5" i="3"/>
  <c r="E5" i="3"/>
  <c r="F11" i="3" s="1"/>
  <c r="B3" i="6"/>
  <c r="D37" i="5"/>
  <c r="D38" i="5"/>
  <c r="D39" i="5"/>
  <c r="D40" i="5"/>
  <c r="D41" i="5"/>
  <c r="D36" i="5"/>
  <c r="B41" i="5"/>
  <c r="B37" i="5"/>
  <c r="B38" i="5"/>
  <c r="B39" i="5"/>
  <c r="B40" i="5"/>
  <c r="B36" i="5"/>
  <c r="C29" i="5"/>
  <c r="F10" i="3" l="1"/>
  <c r="P10" i="3" s="1"/>
  <c r="F9" i="3"/>
  <c r="P11" i="3"/>
  <c r="E5" i="2"/>
  <c r="E6" i="2"/>
  <c r="E7" i="2"/>
  <c r="E8" i="2"/>
  <c r="E9" i="2"/>
  <c r="G9" i="2" s="1"/>
  <c r="E4" i="2"/>
  <c r="C5" i="2"/>
  <c r="C6" i="2"/>
  <c r="C7" i="2"/>
  <c r="C8" i="2"/>
  <c r="C9" i="2"/>
  <c r="C4" i="2"/>
  <c r="W79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80" i="2"/>
  <c r="W81" i="2"/>
  <c r="W82" i="2"/>
  <c r="W20" i="2"/>
  <c r="G79" i="6"/>
  <c r="M77" i="6"/>
  <c r="L77" i="6"/>
  <c r="L15" i="6" s="1"/>
  <c r="K77" i="6"/>
  <c r="K15" i="6" s="1"/>
  <c r="J77" i="6"/>
  <c r="J15" i="6" s="1"/>
  <c r="I77" i="6"/>
  <c r="H77" i="6"/>
  <c r="H15" i="6" s="1"/>
  <c r="G77" i="6"/>
  <c r="G15" i="6" s="1"/>
  <c r="M76" i="6"/>
  <c r="M14" i="6" s="1"/>
  <c r="M13" i="6" s="1"/>
  <c r="L76" i="6"/>
  <c r="K76" i="6"/>
  <c r="K14" i="6" s="1"/>
  <c r="K13" i="6" s="1"/>
  <c r="J76" i="6"/>
  <c r="J14" i="6" s="1"/>
  <c r="J13" i="6" s="1"/>
  <c r="I76" i="6"/>
  <c r="I14" i="6" s="1"/>
  <c r="I13" i="6" s="1"/>
  <c r="H76" i="6"/>
  <c r="G76" i="6"/>
  <c r="G14" i="6" s="1"/>
  <c r="G13" i="6" s="1"/>
  <c r="C72" i="6"/>
  <c r="C71" i="6"/>
  <c r="B67" i="6"/>
  <c r="B66" i="6"/>
  <c r="B65" i="6"/>
  <c r="B63" i="6"/>
  <c r="B62" i="6"/>
  <c r="B61" i="6"/>
  <c r="B60" i="6"/>
  <c r="Q46" i="6"/>
  <c r="Q17" i="6" s="1"/>
  <c r="P46" i="6"/>
  <c r="P17" i="6" s="1"/>
  <c r="O46" i="6"/>
  <c r="O17" i="6" s="1"/>
  <c r="N46" i="6"/>
  <c r="N17" i="6" s="1"/>
  <c r="M46" i="6"/>
  <c r="M17" i="6" s="1"/>
  <c r="L46" i="6"/>
  <c r="L17" i="6" s="1"/>
  <c r="K46" i="6"/>
  <c r="K17" i="6" s="1"/>
  <c r="J46" i="6"/>
  <c r="J17" i="6" s="1"/>
  <c r="I46" i="6"/>
  <c r="I17" i="6" s="1"/>
  <c r="H46" i="6"/>
  <c r="H17" i="6" s="1"/>
  <c r="G46" i="6"/>
  <c r="G17" i="6" s="1"/>
  <c r="E46" i="6"/>
  <c r="E45" i="6"/>
  <c r="C45" i="6"/>
  <c r="E44" i="6"/>
  <c r="E43" i="6"/>
  <c r="Q42" i="6"/>
  <c r="P42" i="6"/>
  <c r="O42" i="6"/>
  <c r="N42" i="6"/>
  <c r="M42" i="6"/>
  <c r="L42" i="6"/>
  <c r="K42" i="6"/>
  <c r="J42" i="6"/>
  <c r="I42" i="6"/>
  <c r="H42" i="6"/>
  <c r="G42" i="6"/>
  <c r="E42" i="6"/>
  <c r="Q41" i="6"/>
  <c r="P41" i="6"/>
  <c r="O41" i="6"/>
  <c r="N41" i="6"/>
  <c r="M41" i="6"/>
  <c r="L41" i="6"/>
  <c r="K41" i="6"/>
  <c r="J41" i="6"/>
  <c r="I41" i="6"/>
  <c r="H41" i="6"/>
  <c r="G41" i="6"/>
  <c r="E41" i="6"/>
  <c r="C41" i="6"/>
  <c r="Q40" i="6"/>
  <c r="P40" i="6"/>
  <c r="O40" i="6"/>
  <c r="N40" i="6"/>
  <c r="M40" i="6"/>
  <c r="L40" i="6"/>
  <c r="K40" i="6"/>
  <c r="J40" i="6"/>
  <c r="I40" i="6"/>
  <c r="H40" i="6"/>
  <c r="G40" i="6"/>
  <c r="E40" i="6"/>
  <c r="E39" i="6"/>
  <c r="E38" i="6"/>
  <c r="E37" i="6"/>
  <c r="Q36" i="6"/>
  <c r="P36" i="6"/>
  <c r="O36" i="6"/>
  <c r="N36" i="6"/>
  <c r="M36" i="6"/>
  <c r="L36" i="6"/>
  <c r="K36" i="6"/>
  <c r="J36" i="6"/>
  <c r="I36" i="6"/>
  <c r="H36" i="6"/>
  <c r="G36" i="6"/>
  <c r="E36" i="6"/>
  <c r="Q35" i="6"/>
  <c r="P35" i="6"/>
  <c r="O35" i="6"/>
  <c r="N35" i="6"/>
  <c r="M35" i="6"/>
  <c r="L35" i="6"/>
  <c r="K35" i="6"/>
  <c r="J35" i="6"/>
  <c r="I35" i="6"/>
  <c r="H35" i="6"/>
  <c r="G35" i="6"/>
  <c r="E35" i="6"/>
  <c r="Q34" i="6"/>
  <c r="P34" i="6"/>
  <c r="O34" i="6"/>
  <c r="N34" i="6"/>
  <c r="M34" i="6"/>
  <c r="L34" i="6"/>
  <c r="K34" i="6"/>
  <c r="J34" i="6"/>
  <c r="I34" i="6"/>
  <c r="H34" i="6"/>
  <c r="G34" i="6"/>
  <c r="E34" i="6"/>
  <c r="Q33" i="6"/>
  <c r="P33" i="6"/>
  <c r="O33" i="6"/>
  <c r="N33" i="6"/>
  <c r="M33" i="6"/>
  <c r="L33" i="6"/>
  <c r="K33" i="6"/>
  <c r="J33" i="6"/>
  <c r="I33" i="6"/>
  <c r="H33" i="6"/>
  <c r="G33" i="6"/>
  <c r="E33" i="6"/>
  <c r="E32" i="6"/>
  <c r="Q31" i="6"/>
  <c r="P31" i="6"/>
  <c r="O31" i="6"/>
  <c r="N31" i="6"/>
  <c r="M31" i="6"/>
  <c r="L31" i="6"/>
  <c r="K31" i="6"/>
  <c r="J31" i="6"/>
  <c r="I31" i="6"/>
  <c r="H31" i="6"/>
  <c r="G31" i="6"/>
  <c r="E31" i="6"/>
  <c r="C31" i="6"/>
  <c r="Q30" i="6"/>
  <c r="P30" i="6"/>
  <c r="O30" i="6"/>
  <c r="N30" i="6"/>
  <c r="M30" i="6"/>
  <c r="L30" i="6"/>
  <c r="K30" i="6"/>
  <c r="J30" i="6"/>
  <c r="I30" i="6"/>
  <c r="H30" i="6"/>
  <c r="G30" i="6"/>
  <c r="E30" i="6"/>
  <c r="Q29" i="6"/>
  <c r="P29" i="6"/>
  <c r="O29" i="6"/>
  <c r="N29" i="6"/>
  <c r="M29" i="6"/>
  <c r="L29" i="6"/>
  <c r="K29" i="6"/>
  <c r="J29" i="6"/>
  <c r="I29" i="6"/>
  <c r="H29" i="6"/>
  <c r="G29" i="6"/>
  <c r="E29" i="6"/>
  <c r="C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Q18" i="6"/>
  <c r="P18" i="6"/>
  <c r="O18" i="6"/>
  <c r="N18" i="6"/>
  <c r="M18" i="6"/>
  <c r="L18" i="6"/>
  <c r="K18" i="6"/>
  <c r="J18" i="6"/>
  <c r="I18" i="6"/>
  <c r="H18" i="6"/>
  <c r="G18" i="6"/>
  <c r="E18" i="6"/>
  <c r="C18" i="6"/>
  <c r="F17" i="6"/>
  <c r="E17" i="6"/>
  <c r="C17" i="6"/>
  <c r="B17" i="6"/>
  <c r="F16" i="6"/>
  <c r="E16" i="6"/>
  <c r="M15" i="6"/>
  <c r="I15" i="6"/>
  <c r="F15" i="6"/>
  <c r="E15" i="6"/>
  <c r="L14" i="6"/>
  <c r="L13" i="6" s="1"/>
  <c r="H14" i="6"/>
  <c r="H13" i="6" s="1"/>
  <c r="F14" i="6"/>
  <c r="E14" i="6"/>
  <c r="Q13" i="6"/>
  <c r="P13" i="6"/>
  <c r="O13" i="6"/>
  <c r="F13" i="6"/>
  <c r="E13" i="6"/>
  <c r="C13" i="6"/>
  <c r="C12" i="6"/>
  <c r="C11" i="6"/>
  <c r="C10" i="6"/>
  <c r="C9" i="6"/>
  <c r="Q8" i="6"/>
  <c r="P8" i="6"/>
  <c r="O8" i="6"/>
  <c r="M8" i="6"/>
  <c r="L8" i="6"/>
  <c r="K8" i="6"/>
  <c r="J8" i="6"/>
  <c r="I8" i="6"/>
  <c r="H8" i="6"/>
  <c r="G8" i="6"/>
  <c r="F8" i="6"/>
  <c r="E8" i="6"/>
  <c r="C8" i="6"/>
  <c r="F7" i="6"/>
  <c r="E7" i="6"/>
  <c r="C7" i="6"/>
  <c r="B7" i="6"/>
  <c r="N6" i="6"/>
  <c r="M6" i="6"/>
  <c r="L6" i="6"/>
  <c r="K6" i="6"/>
  <c r="J6" i="6"/>
  <c r="I6" i="6"/>
  <c r="H6" i="6"/>
  <c r="G6" i="6"/>
  <c r="B6" i="6"/>
  <c r="Q4" i="6"/>
  <c r="P4" i="6"/>
  <c r="O4" i="6"/>
  <c r="N4" i="6"/>
  <c r="M4" i="6"/>
  <c r="L4" i="6"/>
  <c r="K4" i="6"/>
  <c r="J4" i="6"/>
  <c r="I4" i="6"/>
  <c r="H4" i="6"/>
  <c r="G4" i="6"/>
  <c r="Q3" i="6"/>
  <c r="P3" i="6"/>
  <c r="L3" i="6"/>
  <c r="F41" i="5" l="1"/>
  <c r="G89" i="2"/>
  <c r="F40" i="5"/>
  <c r="G88" i="2"/>
  <c r="F77" i="3"/>
  <c r="C52" i="5" s="1"/>
  <c r="F39" i="5"/>
  <c r="G87" i="2"/>
  <c r="F37" i="5"/>
  <c r="G85" i="2"/>
  <c r="P9" i="3"/>
  <c r="P77" i="3" s="1"/>
  <c r="Q77" i="3" s="1"/>
  <c r="C48" i="5" s="1"/>
  <c r="W17" i="2"/>
  <c r="G8" i="2"/>
  <c r="W16" i="2"/>
  <c r="G7" i="2"/>
  <c r="W15" i="2"/>
  <c r="W84" i="2" s="1"/>
  <c r="G5" i="2"/>
  <c r="W22" i="2"/>
  <c r="G41" i="5" s="1"/>
  <c r="W18" i="2"/>
  <c r="G39" i="5" s="1"/>
  <c r="W19" i="2"/>
  <c r="G37" i="5" s="1"/>
  <c r="W21" i="2"/>
  <c r="G40" i="5" s="1"/>
  <c r="G38" i="5"/>
  <c r="J7" i="6"/>
  <c r="L7" i="6"/>
  <c r="G7" i="6"/>
  <c r="K7" i="6"/>
  <c r="I7" i="6"/>
  <c r="M7" i="6"/>
  <c r="H7" i="6"/>
  <c r="F36" i="5" l="1"/>
  <c r="G84" i="2"/>
  <c r="F38" i="5"/>
  <c r="G86" i="2"/>
  <c r="D52" i="5"/>
  <c r="X83" i="2"/>
  <c r="G44" i="5" s="1"/>
  <c r="G6" i="2"/>
  <c r="G4" i="2"/>
  <c r="G92" i="2" l="1"/>
  <c r="F44" i="5" s="1"/>
  <c r="F45" i="5" s="1"/>
  <c r="B2" i="2"/>
  <c r="G36" i="5"/>
  <c r="C32" i="5" l="1"/>
</calcChain>
</file>

<file path=xl/sharedStrings.xml><?xml version="1.0" encoding="utf-8"?>
<sst xmlns="http://schemas.openxmlformats.org/spreadsheetml/2006/main" count="243" uniqueCount="177">
  <si>
    <t>Ergebnisfeld</t>
  </si>
  <si>
    <t>Automatische Berechnung</t>
  </si>
  <si>
    <t>Eingabefeld</t>
  </si>
  <si>
    <t>Bitte die Zeilen von links nach rechts ausfüllen</t>
  </si>
  <si>
    <t>Bitte ausschließlich die grün markierten Felder aussfüllen (siehe Legende)</t>
  </si>
  <si>
    <r>
      <rPr>
        <vertAlign val="superscript"/>
        <sz val="11"/>
        <color rgb="FF333333"/>
        <rFont val="Arial"/>
        <family val="2"/>
      </rPr>
      <t>5</t>
    </r>
    <r>
      <rPr>
        <sz val="11"/>
        <color rgb="FF333333"/>
        <rFont val="Arial"/>
        <family val="2"/>
      </rPr>
      <t xml:space="preserve"> Kommt ein „Möbel“ zum Einsatz, das ein Upcycling-Möbel ist (z.B. Europalette wird Ladentheke)?</t>
    </r>
  </si>
  <si>
    <r>
      <rPr>
        <vertAlign val="superscript"/>
        <sz val="11"/>
        <color rgb="FF333333"/>
        <rFont val="Arial"/>
        <family val="2"/>
      </rPr>
      <t>4</t>
    </r>
    <r>
      <rPr>
        <sz val="11"/>
        <color rgb="FF333333"/>
        <rFont val="Arial"/>
        <family val="2"/>
      </rPr>
      <t xml:space="preserve"> Kommt ein „Möbel“ zum Einsatz, das zu über 90% aus Recycling Material besteht?</t>
    </r>
  </si>
  <si>
    <t>Legende</t>
  </si>
  <si>
    <t>Falls ein Merkmal vorhanden ist, bitte mit "a" markieren (mehrfach Markierung möglich)</t>
  </si>
  <si>
    <t>qualitatives Merkmal vorhanden / nicht vorhanden</t>
  </si>
  <si>
    <r>
      <t xml:space="preserve">nachweislich nachhaltig </t>
    </r>
    <r>
      <rPr>
        <vertAlign val="superscript"/>
        <sz val="13"/>
        <color theme="0"/>
        <rFont val="Calibri"/>
        <family val="2"/>
        <scheme val="minor"/>
      </rPr>
      <t>6</t>
    </r>
    <r>
      <rPr>
        <sz val="13"/>
        <color theme="0"/>
        <rFont val="Calibri"/>
        <family val="2"/>
        <scheme val="minor"/>
      </rPr>
      <t xml:space="preserve"> </t>
    </r>
  </si>
  <si>
    <t>Liegt eine EPD für „Möbel“ vor?</t>
  </si>
  <si>
    <t>Produktname / Beschreibung</t>
  </si>
  <si>
    <t>Vollständige Möbelstückliste</t>
  </si>
  <si>
    <r>
      <rPr>
        <vertAlign val="superscript"/>
        <sz val="11"/>
        <color rgb="FF333333"/>
        <rFont val="Arial"/>
        <family val="2"/>
      </rPr>
      <t xml:space="preserve">7 </t>
    </r>
    <r>
      <rPr>
        <sz val="11"/>
        <color rgb="FF333333"/>
        <rFont val="Arial"/>
        <family val="2"/>
      </rPr>
      <t>Kommt ein „Möbel“ zum Einsatz, das nachweislich eine lange Nutzungsdauer, einen hohen Wiederverkaufs- und verwendungswert hat?</t>
    </r>
  </si>
  <si>
    <r>
      <rPr>
        <vertAlign val="superscript"/>
        <sz val="11"/>
        <color rgb="FF333333"/>
        <rFont val="Arial"/>
        <family val="2"/>
      </rPr>
      <t xml:space="preserve">1 </t>
    </r>
    <r>
      <rPr>
        <sz val="11"/>
        <color rgb="FF333333"/>
        <rFont val="Arial"/>
        <family val="2"/>
      </rPr>
      <t xml:space="preserve">Werden gebrauchte „Möbel“ auf der Mietfläche genutzt? </t>
    </r>
  </si>
  <si>
    <r>
      <t xml:space="preserve">lange Nutzungsdauer, einen hohen Wiederverkaufs- und verwendungswert </t>
    </r>
    <r>
      <rPr>
        <vertAlign val="superscript"/>
        <sz val="13"/>
        <color theme="0"/>
        <rFont val="Calibri"/>
        <family val="2"/>
        <scheme val="minor"/>
      </rPr>
      <t>7</t>
    </r>
  </si>
  <si>
    <r>
      <t xml:space="preserve">Upcycling-Möbel </t>
    </r>
    <r>
      <rPr>
        <vertAlign val="superscript"/>
        <sz val="13"/>
        <color theme="0"/>
        <rFont val="Calibri"/>
        <family val="2"/>
        <scheme val="minor"/>
      </rPr>
      <t xml:space="preserve">5 </t>
    </r>
  </si>
  <si>
    <r>
      <t>zu 90 % aus recycleten Materialien</t>
    </r>
    <r>
      <rPr>
        <vertAlign val="superscript"/>
        <sz val="13"/>
        <color theme="0"/>
        <rFont val="Calibri"/>
        <family val="2"/>
        <scheme val="minor"/>
      </rPr>
      <t xml:space="preserve"> 4</t>
    </r>
  </si>
  <si>
    <r>
      <t xml:space="preserve">Nutzung von Möbelleasing </t>
    </r>
    <r>
      <rPr>
        <vertAlign val="superscript"/>
        <sz val="13"/>
        <color theme="0"/>
        <rFont val="Calibri"/>
        <family val="2"/>
        <scheme val="minor"/>
      </rPr>
      <t>3</t>
    </r>
  </si>
  <si>
    <r>
      <t>Rücknahmeprogramm durch Möbelhersteller</t>
    </r>
    <r>
      <rPr>
        <vertAlign val="superscript"/>
        <sz val="13"/>
        <color theme="0"/>
        <rFont val="Calibri"/>
        <family val="2"/>
        <scheme val="minor"/>
      </rPr>
      <t xml:space="preserve"> 2</t>
    </r>
  </si>
  <si>
    <r>
      <t xml:space="preserve">Nutzung gebrauchter Möbel </t>
    </r>
    <r>
      <rPr>
        <vertAlign val="superscript"/>
        <sz val="13"/>
        <color theme="0"/>
        <rFont val="Calibri"/>
        <family val="2"/>
        <scheme val="minor"/>
      </rPr>
      <t>1</t>
    </r>
  </si>
  <si>
    <t>Kriterium TEC1.6 Rückbau- und Recyclingfreundlichkeit - Qualitative Merkmale</t>
  </si>
  <si>
    <t>Tische</t>
  </si>
  <si>
    <t>Rollcontainer</t>
  </si>
  <si>
    <t>Stühle</t>
  </si>
  <si>
    <t>Sessel / Sofas</t>
  </si>
  <si>
    <t>Nachweise über qualitative Merkmale können den Nachweisunnterlagen beigefügt werden - JA / NEIN</t>
  </si>
  <si>
    <r>
      <rPr>
        <vertAlign val="superscript"/>
        <sz val="11"/>
        <color rgb="FF333333"/>
        <rFont val="Arial"/>
        <family val="2"/>
      </rPr>
      <t>2</t>
    </r>
    <r>
      <rPr>
        <sz val="11"/>
        <color rgb="FF333333"/>
        <rFont val="Arial"/>
        <family val="2"/>
      </rPr>
      <t xml:space="preserve"> Kommt ein „Möbel“ zum Einsatz, bei dem der Möbelhersteller über ein Rücknahmeprogramm zusichert, dass das gebrauchte Möbel wiederverwendet oder recycelt wird?</t>
    </r>
  </si>
  <si>
    <r>
      <rPr>
        <vertAlign val="superscript"/>
        <sz val="11"/>
        <color rgb="FF333333"/>
        <rFont val="Arial"/>
        <family val="2"/>
      </rPr>
      <t>3</t>
    </r>
    <r>
      <rPr>
        <sz val="11"/>
        <color rgb="FF333333"/>
        <rFont val="Arial"/>
        <family val="2"/>
      </rPr>
      <t xml:space="preserve"> Kommt ein „Möbel“ zum Einsatz, das über ein Möbelleasing für einen definierten Zeitraum genutzt wird und nach Rücknahme wiederverwendet oder recycelt? </t>
    </r>
  </si>
  <si>
    <r>
      <rPr>
        <vertAlign val="superscript"/>
        <sz val="11"/>
        <color rgb="FF333333"/>
        <rFont val="Arial"/>
        <family val="2"/>
      </rPr>
      <t>6</t>
    </r>
    <r>
      <rPr>
        <sz val="11"/>
        <color rgb="FF333333"/>
        <rFont val="Arial"/>
        <family val="2"/>
      </rPr>
      <t xml:space="preserve"> Kommt ein „Möbel“ zum Einsatz, das nachweislich hinsichtlich verschiedener Nachhaltigkeitsanforderungen zertifiziert wurde   und die dies über ein Label belegen kann?</t>
    </r>
  </si>
  <si>
    <t>Katregorie 1</t>
  </si>
  <si>
    <t>Kategorie 2</t>
  </si>
  <si>
    <t>Herstellung über Firmen mit Umweltmanagementsystem</t>
  </si>
  <si>
    <t>zu 40% aus schwermetallfreiem Recyclingmaterial</t>
  </si>
  <si>
    <r>
      <t xml:space="preserve">Nutzung gebrauchter Möbel </t>
    </r>
    <r>
      <rPr>
        <sz val="13"/>
        <color theme="0"/>
        <rFont val="Arial"/>
        <family val="2"/>
      </rPr>
      <t>¹</t>
    </r>
  </si>
  <si>
    <r>
      <t xml:space="preserve">Upcycling-Möbel </t>
    </r>
    <r>
      <rPr>
        <vertAlign val="superscript"/>
        <sz val="13"/>
        <color theme="0"/>
        <rFont val="Calibri"/>
        <family val="2"/>
        <scheme val="minor"/>
      </rPr>
      <t>2</t>
    </r>
    <r>
      <rPr>
        <sz val="13"/>
        <color theme="0"/>
        <rFont val="Calibri"/>
        <family val="2"/>
        <scheme val="minor"/>
      </rPr>
      <t xml:space="preserve"> </t>
    </r>
  </si>
  <si>
    <r>
      <t xml:space="preserve">CO2-neutral hergestellt </t>
    </r>
    <r>
      <rPr>
        <vertAlign val="superscript"/>
        <sz val="13"/>
        <color theme="0"/>
        <rFont val="Calibri"/>
        <family val="2"/>
        <scheme val="minor"/>
      </rPr>
      <t>3</t>
    </r>
  </si>
  <si>
    <r>
      <t xml:space="preserve">zu 90% aus nachwachsenden Rohstoffen </t>
    </r>
    <r>
      <rPr>
        <vertAlign val="superscript"/>
        <sz val="13"/>
        <color theme="0"/>
        <rFont val="Calibri"/>
        <family val="2"/>
        <scheme val="minor"/>
      </rPr>
      <t>4</t>
    </r>
  </si>
  <si>
    <r>
      <t xml:space="preserve">nachweislich nachhaltig </t>
    </r>
    <r>
      <rPr>
        <vertAlign val="superscript"/>
        <sz val="13"/>
        <color theme="0"/>
        <rFont val="Calibri"/>
        <family val="2"/>
        <scheme val="minor"/>
      </rPr>
      <t>5</t>
    </r>
    <r>
      <rPr>
        <sz val="13"/>
        <color theme="0"/>
        <rFont val="Calibri"/>
        <family val="2"/>
        <scheme val="minor"/>
      </rPr>
      <t xml:space="preserve"> </t>
    </r>
  </si>
  <si>
    <r>
      <t xml:space="preserve">zu 95 % aus recyclingfähigen Materialien </t>
    </r>
    <r>
      <rPr>
        <vertAlign val="superscript"/>
        <sz val="13"/>
        <color theme="0"/>
        <rFont val="Calibri"/>
        <family val="2"/>
        <scheme val="minor"/>
      </rPr>
      <t>7</t>
    </r>
  </si>
  <si>
    <r>
      <t xml:space="preserve">mit regenerativer Energie hergestellt </t>
    </r>
    <r>
      <rPr>
        <vertAlign val="superscript"/>
        <sz val="13"/>
        <color theme="0"/>
        <rFont val="Calibri"/>
        <family val="2"/>
        <scheme val="minor"/>
      </rPr>
      <t>8</t>
    </r>
  </si>
  <si>
    <r>
      <t xml:space="preserve">leicht zu reparieren, Ersatzteilgarantie &amp; Reparatur-Tutorial </t>
    </r>
    <r>
      <rPr>
        <vertAlign val="superscript"/>
        <sz val="13"/>
        <color theme="0"/>
        <rFont val="Calibri"/>
        <family val="2"/>
        <scheme val="minor"/>
      </rPr>
      <t>10</t>
    </r>
  </si>
  <si>
    <r>
      <t xml:space="preserve">lange Nutzungsdauer, einen hohen Wiederverkaufs- und verwendungswert </t>
    </r>
    <r>
      <rPr>
        <vertAlign val="superscript"/>
        <sz val="13"/>
        <color theme="0"/>
        <rFont val="Calibri"/>
        <family val="2"/>
        <scheme val="minor"/>
      </rPr>
      <t>11</t>
    </r>
  </si>
  <si>
    <r>
      <t xml:space="preserve"> schadstoffarm  </t>
    </r>
    <r>
      <rPr>
        <vertAlign val="superscript"/>
        <sz val="13"/>
        <color theme="0"/>
        <rFont val="Calibri"/>
        <family val="2"/>
        <scheme val="minor"/>
      </rPr>
      <t>12</t>
    </r>
  </si>
  <si>
    <r>
      <t xml:space="preserve"> nachweislich rückverfolgbar  und nachhaltige Materialgewinnung? </t>
    </r>
    <r>
      <rPr>
        <vertAlign val="superscript"/>
        <sz val="13"/>
        <color theme="0"/>
        <rFont val="Calibri"/>
        <family val="2"/>
        <scheme val="minor"/>
      </rPr>
      <t>13</t>
    </r>
  </si>
  <si>
    <r>
      <rPr>
        <vertAlign val="superscript"/>
        <sz val="11"/>
        <color rgb="FF333333"/>
        <rFont val="Arial"/>
        <family val="2"/>
      </rPr>
      <t xml:space="preserve">1 </t>
    </r>
    <r>
      <rPr>
        <sz val="11"/>
        <color rgb="FF333333"/>
        <rFont val="Arial"/>
        <family val="2"/>
      </rPr>
      <t>Das eingesetzte Möbel ist gebraucht und wird wiederverwendet</t>
    </r>
  </si>
  <si>
    <r>
      <rPr>
        <vertAlign val="superscript"/>
        <sz val="11"/>
        <color rgb="FF333333"/>
        <rFont val="Arial"/>
        <family val="2"/>
      </rPr>
      <t>2</t>
    </r>
    <r>
      <rPr>
        <sz val="11"/>
        <color rgb="FF333333"/>
        <rFont val="Arial"/>
        <family val="2"/>
      </rPr>
      <t xml:space="preserve"> Es kommt ein Möbel zum Einsatz, das ein Upcycling-Möbel ist (z.B. Europalette wird Ladentheke)</t>
    </r>
  </si>
  <si>
    <r>
      <rPr>
        <vertAlign val="superscript"/>
        <sz val="11"/>
        <color rgb="FF333333"/>
        <rFont val="Arial"/>
        <family val="2"/>
      </rPr>
      <t>3</t>
    </r>
    <r>
      <rPr>
        <sz val="11"/>
        <color rgb="FF333333"/>
        <rFont val="Arial"/>
        <family val="2"/>
      </rPr>
      <t xml:space="preserve"> Es kommt ein Möbel zum Einsatz, das gemäß unabhängiger Prüfung nach anerkannten Regeln CO2-neutral hergestellt wurde</t>
    </r>
  </si>
  <si>
    <t>Kategorie 1</t>
  </si>
  <si>
    <r>
      <rPr>
        <vertAlign val="superscript"/>
        <sz val="11"/>
        <color rgb="FF333333"/>
        <rFont val="Arial"/>
        <family val="2"/>
      </rPr>
      <t>4</t>
    </r>
    <r>
      <rPr>
        <sz val="11"/>
        <color rgb="FF333333"/>
        <rFont val="Arial"/>
        <family val="2"/>
      </rPr>
      <t xml:space="preserve"> Es kommt ein Möbel zum Einsatz, das vorwiegend (zu über 90% der Masse) aus nachwachsenden Rohstoffen besteht</t>
    </r>
  </si>
  <si>
    <r>
      <rPr>
        <vertAlign val="superscript"/>
        <sz val="11"/>
        <color rgb="FF333333"/>
        <rFont val="Arial"/>
        <family val="2"/>
      </rPr>
      <t>5</t>
    </r>
    <r>
      <rPr>
        <sz val="11"/>
        <color rgb="FF333333"/>
        <rFont val="Arial"/>
        <family val="2"/>
      </rPr>
      <t xml:space="preserve"> Es kommt ein Möbel zum Einsatz, das nachweislich gemäß unabhängiger Prüfung hinsichtlich verschiedener Nachhaltigkeitsanforderungen (inklusive Kreislauffähigkeit) zertifiziert wurde und dies über ein Label belegen kann</t>
    </r>
  </si>
  <si>
    <r>
      <rPr>
        <vertAlign val="superscript"/>
        <sz val="11"/>
        <color rgb="FF333333"/>
        <rFont val="Arial"/>
        <family val="2"/>
      </rPr>
      <t>6</t>
    </r>
    <r>
      <rPr>
        <sz val="11"/>
        <color rgb="FF333333"/>
        <rFont val="Arial"/>
        <family val="2"/>
      </rPr>
      <t xml:space="preserve"> Es kommt ein Möbel zum Einsatz, das zu einem großen Anteil (zu über 40% der Masse) aus schwermetallfreiem Recycling-Material besteht</t>
    </r>
  </si>
  <si>
    <r>
      <rPr>
        <vertAlign val="superscript"/>
        <sz val="11"/>
        <color rgb="FF333333"/>
        <rFont val="Arial"/>
        <family val="2"/>
      </rPr>
      <t xml:space="preserve">7 </t>
    </r>
    <r>
      <rPr>
        <sz val="11"/>
        <color rgb="FF333333"/>
        <rFont val="Arial"/>
        <family val="2"/>
      </rPr>
      <t>Es kommt ein Möbel zum Einsatz, das fast ausschließlich (zu über 95% der Masse) aus recyclingfähigem Material besteht</t>
    </r>
  </si>
  <si>
    <r>
      <rPr>
        <vertAlign val="superscript"/>
        <sz val="11"/>
        <color rgb="FF333333"/>
        <rFont val="Arial"/>
        <family val="2"/>
      </rPr>
      <t>8</t>
    </r>
    <r>
      <rPr>
        <sz val="11"/>
        <color rgb="FF333333"/>
        <rFont val="Arial"/>
        <family val="2"/>
      </rPr>
      <t xml:space="preserve"> Es kommt ein Möbel zum Einsatz, für dessen Herstellung (gesamte Wertschöpfungskette) fast ausschließlich regenerative Energiequellen genutzt wurden</t>
    </r>
  </si>
  <si>
    <r>
      <rPr>
        <vertAlign val="superscript"/>
        <sz val="11"/>
        <color rgb="FF333333"/>
        <rFont val="Arial"/>
        <family val="2"/>
      </rPr>
      <t>9</t>
    </r>
    <r>
      <rPr>
        <sz val="11"/>
        <color rgb="FF333333"/>
        <rFont val="Arial"/>
        <family val="2"/>
      </rPr>
      <t xml:space="preserve"> Für das eingesetzte Möbel liegt eine Umweltproduktdeklaration (EPD) vor</t>
    </r>
  </si>
  <si>
    <r>
      <rPr>
        <vertAlign val="superscript"/>
        <sz val="11"/>
        <color rgb="FF333333"/>
        <rFont val="Arial"/>
        <family val="2"/>
      </rPr>
      <t>10</t>
    </r>
    <r>
      <rPr>
        <sz val="11"/>
        <color rgb="FF333333"/>
        <rFont val="Arial"/>
        <family val="2"/>
      </rPr>
      <t xml:space="preserve"> Es kommt ein Möbel zum Einsatz, das leicht selbst zu reparieren/ instand zu halten ist. Zusätzlich garantiert der Möbelhersteller eine Lieferung von Ersatzteilen über einen langen Zeitraum (mehr als 5 Jahre) und stellt Reparatur-Anleitungen zur Verfügung</t>
    </r>
  </si>
  <si>
    <r>
      <rPr>
        <vertAlign val="superscript"/>
        <sz val="11"/>
        <color rgb="FF333333"/>
        <rFont val="Arial"/>
        <family val="2"/>
      </rPr>
      <t>11</t>
    </r>
    <r>
      <rPr>
        <sz val="11"/>
        <color rgb="FF333333"/>
        <rFont val="Arial"/>
        <family val="2"/>
      </rPr>
      <t xml:space="preserve"> Es kommt ein Möbel zum Einsatz, das nachweislich eine lange Nutzungsdauer (mehr als 5 Jahre) und einen hohen Wiederverkaufs- oder Wiederverwendungswert hat</t>
    </r>
  </si>
  <si>
    <r>
      <rPr>
        <vertAlign val="superscript"/>
        <sz val="11"/>
        <color rgb="FF333333"/>
        <rFont val="Arial"/>
        <family val="2"/>
      </rPr>
      <t>12</t>
    </r>
    <r>
      <rPr>
        <sz val="11"/>
        <color rgb="FF333333"/>
        <rFont val="Arial"/>
        <family val="2"/>
      </rPr>
      <t xml:space="preserve"> Es kommt ein Möbel zum Einsatz, das nachweislich schadstoffarm ausgeführt ist und nachweislich schadstoffarm hergestellt wurde</t>
    </r>
  </si>
  <si>
    <r>
      <rPr>
        <vertAlign val="superscript"/>
        <sz val="11"/>
        <color rgb="FF333333"/>
        <rFont val="Arial"/>
        <family val="2"/>
      </rPr>
      <t>13</t>
    </r>
    <r>
      <rPr>
        <sz val="11"/>
        <color rgb="FF333333"/>
        <rFont val="Arial"/>
        <family val="2"/>
      </rPr>
      <t xml:space="preserve"> Es kommt ein Möbel zum Einsatz, dessen zum Großteil verwendeten Materialien nachweislich bis zur Quelle zurück verfolgbar sind und aus nachhaltiger Gewinnung stammen</t>
    </r>
  </si>
  <si>
    <r>
      <rPr>
        <vertAlign val="superscript"/>
        <sz val="11"/>
        <color rgb="FF333333"/>
        <rFont val="Arial"/>
        <family val="2"/>
      </rPr>
      <t>14</t>
    </r>
    <r>
      <rPr>
        <sz val="11"/>
        <color rgb="FF333333"/>
        <rFont val="Arial"/>
        <family val="2"/>
      </rPr>
      <t xml:space="preserve"> Es kommt ein Möbel zum Einsatz, an dessen Herstellung fast ausschließlich Firmen mit umgesetzten Umweltmanagementsystemen (ISO 14001 oder EMAS III) beteiligt waren</t>
    </r>
  </si>
  <si>
    <t>GWP / CO2</t>
  </si>
  <si>
    <t>ODP / CFC11</t>
  </si>
  <si>
    <t>POCP / C2H4</t>
  </si>
  <si>
    <t>AP / SO2</t>
  </si>
  <si>
    <t>EP / PO4-3</t>
  </si>
  <si>
    <t>PEne</t>
  </si>
  <si>
    <t>PEges</t>
  </si>
  <si>
    <t>PEern</t>
  </si>
  <si>
    <t>ADPE/ Sb</t>
  </si>
  <si>
    <t>ADPF</t>
  </si>
  <si>
    <t>FW</t>
  </si>
  <si>
    <t>[kg/(m²NGF*a)]</t>
  </si>
  <si>
    <t>[MJ/m²NGF*a]</t>
  </si>
  <si>
    <t>[m3/m²NGF*a]</t>
  </si>
  <si>
    <t>A-D</t>
  </si>
  <si>
    <t>A</t>
  </si>
  <si>
    <t>B2</t>
  </si>
  <si>
    <t>C3</t>
  </si>
  <si>
    <t>C4</t>
  </si>
  <si>
    <t>D</t>
  </si>
  <si>
    <t>B6</t>
  </si>
  <si>
    <t>A1
A2
A3</t>
  </si>
  <si>
    <t>A4</t>
  </si>
  <si>
    <t>A5</t>
  </si>
  <si>
    <t>B1</t>
  </si>
  <si>
    <t>B3</t>
  </si>
  <si>
    <t>B4</t>
  </si>
  <si>
    <t>B5</t>
  </si>
  <si>
    <t>B7</t>
  </si>
  <si>
    <t>C1</t>
  </si>
  <si>
    <t>C2</t>
  </si>
  <si>
    <t>Allgemeine Informationen</t>
  </si>
  <si>
    <t>bewertete NGF</t>
  </si>
  <si>
    <t>Zu verwendende Ökobau.dat version</t>
  </si>
  <si>
    <t>aktuelle Version, aber nicht älter als V2013</t>
  </si>
  <si>
    <t>Verwendete Ökobau.dat Version</t>
  </si>
  <si>
    <t>A/V [m-1]</t>
  </si>
  <si>
    <t>Dachfläche [m²]</t>
  </si>
  <si>
    <t>Fassadenfläche [m²]</t>
  </si>
  <si>
    <t>Innenwandfläche [m²]</t>
  </si>
  <si>
    <t>Deckenfläche [m²]</t>
  </si>
  <si>
    <t>Fundament/ Bodenplatte [m²]</t>
  </si>
  <si>
    <t>Angaben zum Endenergiebedarf des Gebäudes</t>
  </si>
  <si>
    <t>kWh/m²a</t>
  </si>
  <si>
    <t>Angaben zum Endenergiebedarf des Referenz-Gebäudes</t>
  </si>
  <si>
    <t>optional</t>
  </si>
  <si>
    <t>Info</t>
  </si>
  <si>
    <t>Strombedarf    [kWh/a]</t>
  </si>
  <si>
    <t>Heizwärmebedarf    [kWh/a]</t>
  </si>
  <si>
    <t xml:space="preserve">Umrechnung Flächen </t>
  </si>
  <si>
    <t>Change log:</t>
  </si>
  <si>
    <t>V1.1</t>
  </si>
  <si>
    <t xml:space="preserve">Neuerstellung </t>
  </si>
  <si>
    <t>V1.2</t>
  </si>
  <si>
    <t>"Gutschriften Strom aus Photovoltaik (20 Jahre)" ist nicht betrachtungsrelevant, da Modul B6 bei NIR nicht betrachtet wird.</t>
  </si>
  <si>
    <t>NIR17-S</t>
  </si>
  <si>
    <t>NIR17-BV</t>
  </si>
  <si>
    <t>selbstgewählter Zeitraum</t>
  </si>
  <si>
    <t>NIR18-BV/H/G</t>
  </si>
  <si>
    <t>NIR18-S</t>
  </si>
  <si>
    <t>Möbelkategorien</t>
  </si>
  <si>
    <t>Nutzungsprofil</t>
  </si>
  <si>
    <t>Für wie viel Prozent der Möbel (Masse) der Kategporien</t>
  </si>
  <si>
    <t>- Tische</t>
  </si>
  <si>
    <t>- Rollcontainer</t>
  </si>
  <si>
    <t>Stauraummöbel (z.B. Regal-, Schubladen-, Vitrinen)</t>
  </si>
  <si>
    <t>Kücheneinrichtungen (Ober- oder Unterschrank), Empfangstheken, Coffee Point Thekenelemente o.ä.</t>
  </si>
  <si>
    <t xml:space="preserve">- Stühle </t>
  </si>
  <si>
    <t>- Sessel / Sofas</t>
  </si>
  <si>
    <t xml:space="preserve">- Stauraummöbel (z.B. Regal-, Schubladen-, Vitrinen) </t>
  </si>
  <si>
    <t>- Kücheneinrichtungen (Oberschrank und Unterschrank), Empfangstheken, Coffee Point Thekenelemente o.ä.</t>
  </si>
  <si>
    <t>die im Ausbaubereich eingesetzt wurden, wurde eine Ökobilanz erstellt?</t>
  </si>
  <si>
    <t>%</t>
  </si>
  <si>
    <t>qualitatives Merkmal vorhanden / nicht vorhanden mit Anteil</t>
  </si>
  <si>
    <t>kg</t>
  </si>
  <si>
    <t>Möbelkategorie</t>
  </si>
  <si>
    <t>Anteil der Möbel in Prozent, die die Anforderungen der qualitativen Merkmale erfüllt haben</t>
  </si>
  <si>
    <t>1. Eingangsabfrage:</t>
  </si>
  <si>
    <t>2. Ergebnis / Zusammenfassung:</t>
  </si>
  <si>
    <t>2.1.1. Eintrag in die Software Parameter 2.1:</t>
  </si>
  <si>
    <t>2.1.2.1 Zusammenfassung zu Parameter 2.2:</t>
  </si>
  <si>
    <t>Gesamtmasse Tische:</t>
  </si>
  <si>
    <t>Gesamtmasse Rollcontainer:</t>
  </si>
  <si>
    <t>Gesamtmasse Stühle:</t>
  </si>
  <si>
    <t>Gesamtmasse Sessel / Sofas:</t>
  </si>
  <si>
    <t>Gesamtmasse Stauraummöbel (z.B. Regal-, Schubladen-, Vitrinen):</t>
  </si>
  <si>
    <t>Gesamtmasse Kücheneinrichtungen (Oberschrank und Unterschrank), Empfangstheken, Coffee Point Thekenelemente o.ä.:</t>
  </si>
  <si>
    <t>SUMME:</t>
  </si>
  <si>
    <t>Masse [kg]</t>
  </si>
  <si>
    <t>Anteil an der Gesamtmasse</t>
  </si>
  <si>
    <t>Massen-Anteil der Kategorie</t>
  </si>
  <si>
    <t>Gesamtmasse:</t>
  </si>
  <si>
    <t>Summe der Massen eingegeben in diesem Tabellenblatt:</t>
  </si>
  <si>
    <t>1.1 Möbel - Ökobilanz</t>
  </si>
  <si>
    <t>2.1. Möbel - Ökobilanz</t>
  </si>
  <si>
    <t>2.1.2. Eintrag in die Software Parameter 2.3:</t>
  </si>
  <si>
    <t>1.2 Merkmale Möbel - Ökobilanz und TEC1.6</t>
  </si>
  <si>
    <t>2.2. Möbel - TEC1.6</t>
  </si>
  <si>
    <t>2.2.1. Eintrag in die Software Parameter 4.1:</t>
  </si>
  <si>
    <t>2.2.1.1 Zusammenfassung zu Parameter 4.1:</t>
  </si>
  <si>
    <t>Anteil bewerteter Möbel</t>
  </si>
  <si>
    <t>Anteil bewertet Möbel</t>
  </si>
  <si>
    <t>Anteil Möbel mit erfüllter Anforderung</t>
  </si>
  <si>
    <t>Gesamtmasse Möbel [kg]</t>
  </si>
  <si>
    <t>Anteil der Möbel in Prozent, die die Anforderungen der qualitativen Merkmale erfüllen</t>
  </si>
  <si>
    <t>Ergebnisdokumentation siehe Tabellenblatt "Öko_Möbel_Erg.Berechnung"</t>
  </si>
  <si>
    <t>sonstige Möbel</t>
  </si>
  <si>
    <t>Gesamtmasse Betten</t>
  </si>
  <si>
    <t>Gesamtmasse sonstige Möbel</t>
  </si>
  <si>
    <t>- Betten</t>
  </si>
  <si>
    <t>- sonstige Möbel</t>
  </si>
  <si>
    <t>Betten</t>
  </si>
  <si>
    <t>Falls in Ihrem Projekt eine Möbel-kategorie nicht existiert, tragen Sie bei der ent-sprechenden Kategorie eine 0 ein.</t>
  </si>
  <si>
    <t>1. Tragen Sie bitte zuerst die Eingangswerte in den grün markierten Zellen in der Registerkarte "Abfrage_Ergebnis" ein</t>
  </si>
  <si>
    <t>2. Danach tragen Sie die Werte in den weiteren Tabellenblättern ein.</t>
  </si>
  <si>
    <t>3. Die Ergebniswerte, die Sie bitte in die Software eintragen, finden Sie im Tabellenblatt "Abfrage_Ergebnis"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</si>
</sst>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333333"/>
      <name val="Arial"/>
      <family val="2"/>
    </font>
    <font>
      <vertAlign val="superscript"/>
      <sz val="11"/>
      <color rgb="FF333333"/>
      <name val="Arial"/>
      <family val="2"/>
    </font>
    <font>
      <sz val="9"/>
      <color rgb="FF333333"/>
      <name val="Wingdings"/>
      <charset val="2"/>
    </font>
    <font>
      <sz val="9"/>
      <color rgb="FF333333"/>
      <name val="Arial"/>
      <family val="2"/>
    </font>
    <font>
      <sz val="10"/>
      <color rgb="FF333333"/>
      <name val="Arial"/>
      <family val="2"/>
    </font>
    <font>
      <sz val="1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3"/>
      <color theme="0"/>
      <name val="Calibri"/>
      <family val="2"/>
      <scheme val="minor"/>
    </font>
    <font>
      <vertAlign val="superscript"/>
      <sz val="13"/>
      <color theme="0"/>
      <name val="Calibri"/>
      <family val="2"/>
      <scheme val="minor"/>
    </font>
    <font>
      <b/>
      <sz val="10"/>
      <name val="Arial"/>
      <family val="2"/>
    </font>
    <font>
      <sz val="24"/>
      <color theme="1"/>
      <name val="Arial"/>
      <family val="2"/>
    </font>
    <font>
      <b/>
      <sz val="14"/>
      <color theme="3"/>
      <name val="Arial"/>
      <family val="2"/>
    </font>
    <font>
      <sz val="10"/>
      <name val="Marlett"/>
      <charset val="2"/>
    </font>
    <font>
      <b/>
      <sz val="12"/>
      <color theme="0"/>
      <name val="Calibri"/>
      <family val="2"/>
      <scheme val="minor"/>
    </font>
    <font>
      <sz val="13"/>
      <color theme="0"/>
      <name val="Arial"/>
      <family val="2"/>
    </font>
    <font>
      <sz val="11"/>
      <color indexed="8"/>
      <name val="Calibri"/>
      <family val="2"/>
    </font>
    <font>
      <sz val="20"/>
      <color indexed="8"/>
      <name val="Calibri"/>
      <family val="2"/>
    </font>
    <font>
      <b/>
      <sz val="14"/>
      <name val="Calibri"/>
      <family val="2"/>
    </font>
    <font>
      <b/>
      <sz val="10"/>
      <color indexed="8"/>
      <name val="Calibri"/>
      <family val="2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</font>
    <font>
      <sz val="8"/>
      <color indexed="8"/>
      <name val="Calibri"/>
      <family val="2"/>
    </font>
    <font>
      <b/>
      <sz val="20"/>
      <color theme="0"/>
      <name val="Calibri"/>
      <family val="2"/>
    </font>
    <font>
      <b/>
      <sz val="14"/>
      <color theme="0"/>
      <name val="Calibri"/>
      <family val="2"/>
    </font>
    <font>
      <sz val="11"/>
      <color theme="0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sz val="9"/>
      <color indexed="8"/>
      <name val="Calibri"/>
      <family val="2"/>
    </font>
    <font>
      <sz val="11"/>
      <color theme="0"/>
      <name val="Arial"/>
      <family val="2"/>
    </font>
    <font>
      <b/>
      <sz val="16"/>
      <color theme="0"/>
      <name val="Calibri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Calibri"/>
      <family val="2"/>
    </font>
    <font>
      <b/>
      <sz val="11"/>
      <color theme="0"/>
      <name val="Calibri"/>
      <family val="2"/>
    </font>
    <font>
      <b/>
      <sz val="11"/>
      <color theme="3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ED100"/>
        <bgColor indexed="64"/>
      </patternFill>
    </fill>
    <fill>
      <patternFill patternType="solid">
        <fgColor rgb="FFDBE5F0"/>
        <bgColor indexed="64"/>
      </patternFill>
    </fill>
    <fill>
      <patternFill patternType="solid">
        <fgColor rgb="FFA5D86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29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1"/>
        <bgColor indexed="22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22"/>
      </patternFill>
    </fill>
    <fill>
      <patternFill patternType="solid">
        <fgColor theme="4" tint="0.79998168889431442"/>
        <bgColor indexed="64"/>
      </patternFill>
    </fill>
  </fills>
  <borders count="1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 style="medium">
        <color theme="3"/>
      </left>
      <right/>
      <top/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/>
      <bottom style="medium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/>
      <top style="thin">
        <color theme="3"/>
      </top>
      <bottom style="medium">
        <color theme="3"/>
      </bottom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/>
      <diagonal/>
    </border>
    <border>
      <left style="medium">
        <color theme="3"/>
      </left>
      <right style="medium">
        <color theme="3"/>
      </right>
      <top/>
      <bottom/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/>
      <top style="thin">
        <color theme="3"/>
      </top>
      <bottom style="thin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/>
      <diagonal/>
    </border>
    <border>
      <left/>
      <right style="dotted">
        <color theme="3"/>
      </right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/>
      <diagonal/>
    </border>
    <border>
      <left style="medium">
        <color theme="3"/>
      </left>
      <right/>
      <top style="medium">
        <color theme="3"/>
      </top>
      <bottom/>
      <diagonal/>
    </border>
    <border>
      <left style="medium">
        <color theme="3"/>
      </left>
      <right/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/>
      <diagonal/>
    </border>
    <border>
      <left style="medium">
        <color theme="3"/>
      </left>
      <right style="thin">
        <color theme="3"/>
      </right>
      <top style="medium">
        <color theme="3"/>
      </top>
      <bottom/>
      <diagonal/>
    </border>
    <border>
      <left style="thin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 style="medium">
        <color theme="3"/>
      </top>
      <bottom style="medium">
        <color theme="3"/>
      </bottom>
      <diagonal/>
    </border>
    <border>
      <left style="thin">
        <color theme="3"/>
      </left>
      <right/>
      <top style="medium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medium">
        <color theme="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8"/>
      </bottom>
      <diagonal/>
    </border>
    <border>
      <left/>
      <right/>
      <top style="medium">
        <color indexed="64"/>
      </top>
      <bottom style="thick">
        <color indexed="8"/>
      </bottom>
      <diagonal/>
    </border>
    <border>
      <left/>
      <right style="medium">
        <color indexed="64"/>
      </right>
      <top style="medium">
        <color indexed="64"/>
      </top>
      <bottom style="thick">
        <color indexed="8"/>
      </bottom>
      <diagonal/>
    </border>
    <border>
      <left style="medium">
        <color indexed="64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medium">
        <color indexed="64"/>
      </right>
      <top style="thick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medium">
        <color indexed="64"/>
      </right>
      <top/>
      <bottom style="thick">
        <color indexed="8"/>
      </bottom>
      <diagonal/>
    </border>
    <border>
      <left style="medium">
        <color indexed="64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/>
      <diagonal/>
    </border>
    <border>
      <left style="medium">
        <color indexed="8"/>
      </left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medium">
        <color indexed="64"/>
      </right>
      <top style="thick">
        <color indexed="8"/>
      </top>
      <bottom/>
      <diagonal/>
    </border>
    <border>
      <left style="medium">
        <color indexed="64"/>
      </left>
      <right/>
      <top style="thick">
        <color indexed="8"/>
      </top>
      <bottom style="thin">
        <color indexed="8"/>
      </bottom>
      <diagonal/>
    </border>
    <border>
      <left/>
      <right style="thin">
        <color indexed="64"/>
      </right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ck">
        <color indexed="8"/>
      </bottom>
      <diagonal/>
    </border>
    <border>
      <left/>
      <right/>
      <top style="thin">
        <color indexed="8"/>
      </top>
      <bottom style="thick">
        <color indexed="8"/>
      </bottom>
      <diagonal/>
    </border>
    <border>
      <left/>
      <right style="thin">
        <color indexed="64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medium">
        <color indexed="64"/>
      </right>
      <top style="thin">
        <color indexed="8"/>
      </top>
      <bottom style="thick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ck">
        <color indexed="8"/>
      </right>
      <top style="thin">
        <color indexed="8"/>
      </top>
      <bottom style="medium">
        <color indexed="64"/>
      </bottom>
      <diagonal/>
    </border>
    <border>
      <left style="thick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theme="3"/>
      </right>
      <top style="medium">
        <color theme="3"/>
      </top>
      <bottom/>
      <diagonal/>
    </border>
    <border>
      <left/>
      <right style="medium">
        <color theme="3"/>
      </right>
      <top style="thin">
        <color auto="1"/>
      </top>
      <bottom style="thin">
        <color auto="1"/>
      </bottom>
      <diagonal/>
    </border>
    <border>
      <left style="medium">
        <color theme="3"/>
      </left>
      <right style="medium">
        <color theme="3"/>
      </right>
      <top style="thin">
        <color auto="1"/>
      </top>
      <bottom style="thin">
        <color auto="1"/>
      </bottom>
      <diagonal/>
    </border>
    <border>
      <left style="medium">
        <color theme="3"/>
      </left>
      <right style="medium">
        <color theme="3"/>
      </right>
      <top style="thin">
        <color auto="1"/>
      </top>
      <bottom style="medium">
        <color theme="3"/>
      </bottom>
      <diagonal/>
    </border>
    <border>
      <left style="medium">
        <color theme="3"/>
      </left>
      <right style="dotted">
        <color theme="3"/>
      </right>
      <top style="medium">
        <color theme="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thin">
        <color indexed="64"/>
      </left>
      <right style="medium">
        <color theme="3"/>
      </right>
      <top style="medium">
        <color theme="3"/>
      </top>
      <bottom style="thin">
        <color indexed="64"/>
      </bottom>
      <diagonal/>
    </border>
    <border>
      <left style="thin">
        <color indexed="64"/>
      </left>
      <right style="medium">
        <color theme="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3"/>
      </right>
      <top style="thin">
        <color indexed="64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thin">
        <color auto="1"/>
      </top>
      <bottom style="thin">
        <color auto="1"/>
      </bottom>
      <diagonal/>
    </border>
    <border>
      <left style="medium">
        <color theme="3"/>
      </left>
      <right style="medium">
        <color theme="3"/>
      </right>
      <top style="thin">
        <color indexed="64"/>
      </top>
      <bottom style="medium">
        <color theme="3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23" fillId="0" borderId="0"/>
  </cellStyleXfs>
  <cellXfs count="405">
    <xf numFmtId="0" fontId="0" fillId="0" borderId="0" xfId="0"/>
    <xf numFmtId="0" fontId="19" fillId="0" borderId="0" xfId="0" applyFont="1" applyBorder="1" applyAlignment="1"/>
    <xf numFmtId="0" fontId="0" fillId="0" borderId="0" xfId="0" applyFill="1" applyBorder="1"/>
    <xf numFmtId="0" fontId="0" fillId="2" borderId="0" xfId="0" applyFill="1" applyProtection="1"/>
    <xf numFmtId="0" fontId="0" fillId="0" borderId="0" xfId="0" applyProtection="1"/>
    <xf numFmtId="0" fontId="25" fillId="8" borderId="41" xfId="3" applyFont="1" applyFill="1" applyBorder="1" applyAlignment="1" applyProtection="1">
      <alignment horizontal="left" vertical="center"/>
    </xf>
    <xf numFmtId="0" fontId="25" fillId="8" borderId="41" xfId="3" applyFont="1" applyFill="1" applyBorder="1" applyAlignment="1" applyProtection="1">
      <alignment horizontal="center" vertical="center" wrapText="1"/>
    </xf>
    <xf numFmtId="0" fontId="25" fillId="8" borderId="42" xfId="3" applyFont="1" applyFill="1" applyBorder="1" applyAlignment="1" applyProtection="1">
      <alignment vertical="center" wrapText="1"/>
    </xf>
    <xf numFmtId="0" fontId="25" fillId="8" borderId="40" xfId="3" applyFont="1" applyFill="1" applyBorder="1" applyAlignment="1" applyProtection="1">
      <alignment horizontal="left" vertical="center"/>
    </xf>
    <xf numFmtId="0" fontId="27" fillId="2" borderId="46" xfId="3" applyFont="1" applyFill="1" applyBorder="1" applyAlignment="1" applyProtection="1">
      <alignment horizontal="center" vertical="center" wrapText="1"/>
    </xf>
    <xf numFmtId="0" fontId="28" fillId="2" borderId="46" xfId="0" applyFont="1" applyFill="1" applyBorder="1" applyAlignment="1" applyProtection="1">
      <alignment horizontal="center" vertical="center" wrapText="1"/>
    </xf>
    <xf numFmtId="0" fontId="27" fillId="0" borderId="47" xfId="3" applyFont="1" applyBorder="1" applyAlignment="1" applyProtection="1">
      <alignment horizontal="center" vertical="center" wrapText="1"/>
    </xf>
    <xf numFmtId="0" fontId="28" fillId="2" borderId="48" xfId="0" applyFont="1" applyFill="1" applyBorder="1" applyAlignment="1" applyProtection="1">
      <alignment horizontal="center" vertical="center" wrapText="1"/>
    </xf>
    <xf numFmtId="0" fontId="28" fillId="2" borderId="47" xfId="0" applyFont="1" applyFill="1" applyBorder="1" applyAlignment="1" applyProtection="1">
      <alignment horizontal="center" vertical="center" wrapText="1"/>
    </xf>
    <xf numFmtId="0" fontId="28" fillId="2" borderId="49" xfId="0" applyFont="1" applyFill="1" applyBorder="1" applyAlignment="1" applyProtection="1">
      <alignment horizontal="center" vertical="center" wrapText="1"/>
    </xf>
    <xf numFmtId="0" fontId="29" fillId="2" borderId="52" xfId="3" applyFont="1" applyFill="1" applyBorder="1" applyAlignment="1" applyProtection="1">
      <alignment horizontal="center" vertical="center"/>
    </xf>
    <xf numFmtId="0" fontId="29" fillId="2" borderId="53" xfId="3" applyFont="1" applyFill="1" applyBorder="1" applyAlignment="1" applyProtection="1">
      <alignment horizontal="center" vertical="center"/>
    </xf>
    <xf numFmtId="0" fontId="29" fillId="0" borderId="53" xfId="3" applyFont="1" applyFill="1" applyBorder="1" applyAlignment="1" applyProtection="1">
      <alignment horizontal="center" vertical="center"/>
    </xf>
    <xf numFmtId="0" fontId="29" fillId="0" borderId="54" xfId="3" applyFont="1" applyFill="1" applyBorder="1" applyAlignment="1" applyProtection="1">
      <alignment horizontal="center" vertical="center"/>
    </xf>
    <xf numFmtId="0" fontId="30" fillId="2" borderId="56" xfId="3" applyFont="1" applyFill="1" applyBorder="1" applyAlignment="1" applyProtection="1">
      <alignment horizontal="center" vertical="center"/>
    </xf>
    <xf numFmtId="0" fontId="30" fillId="2" borderId="57" xfId="3" applyFont="1" applyFill="1" applyBorder="1" applyAlignment="1" applyProtection="1">
      <alignment horizontal="center" vertical="center"/>
    </xf>
    <xf numFmtId="0" fontId="32" fillId="10" borderId="59" xfId="3" applyFont="1" applyFill="1" applyBorder="1" applyAlignment="1" applyProtection="1">
      <alignment horizontal="left" vertical="center" wrapText="1"/>
    </xf>
    <xf numFmtId="0" fontId="33" fillId="10" borderId="60" xfId="3" applyFont="1" applyFill="1" applyBorder="1" applyAlignment="1" applyProtection="1">
      <alignment horizontal="left" vertical="center" wrapText="1"/>
    </xf>
    <xf numFmtId="0" fontId="32" fillId="10" borderId="60" xfId="3" applyFont="1" applyFill="1" applyBorder="1" applyAlignment="1" applyProtection="1">
      <alignment horizontal="left" vertical="center" wrapText="1"/>
    </xf>
    <xf numFmtId="11" fontId="32" fillId="10" borderId="60" xfId="3" applyNumberFormat="1" applyFont="1" applyFill="1" applyBorder="1" applyAlignment="1" applyProtection="1">
      <alignment horizontal="center" vertical="center" wrapText="1"/>
    </xf>
    <xf numFmtId="11" fontId="32" fillId="10" borderId="0" xfId="3" applyNumberFormat="1" applyFont="1" applyFill="1" applyBorder="1" applyAlignment="1" applyProtection="1">
      <alignment horizontal="center" vertical="center" wrapText="1"/>
    </xf>
    <xf numFmtId="11" fontId="32" fillId="10" borderId="61" xfId="3" applyNumberFormat="1" applyFont="1" applyFill="1" applyBorder="1" applyAlignment="1" applyProtection="1">
      <alignment horizontal="center" vertical="center" wrapText="1"/>
    </xf>
    <xf numFmtId="11" fontId="32" fillId="10" borderId="49" xfId="3" applyNumberFormat="1" applyFont="1" applyFill="1" applyBorder="1" applyAlignment="1" applyProtection="1">
      <alignment horizontal="center" vertical="center" wrapText="1"/>
    </xf>
    <xf numFmtId="0" fontId="34" fillId="0" borderId="63" xfId="3" applyFont="1" applyFill="1" applyBorder="1" applyAlignment="1" applyProtection="1">
      <alignment horizontal="center" vertical="center"/>
    </xf>
    <xf numFmtId="0" fontId="23" fillId="0" borderId="64" xfId="3" applyFont="1" applyFill="1" applyBorder="1" applyAlignment="1" applyProtection="1">
      <alignment horizontal="left" vertical="center" wrapText="1"/>
    </xf>
    <xf numFmtId="11" fontId="35" fillId="2" borderId="49" xfId="3" applyNumberFormat="1" applyFont="1" applyFill="1" applyBorder="1" applyAlignment="1" applyProtection="1">
      <alignment horizontal="center" vertical="center"/>
    </xf>
    <xf numFmtId="0" fontId="34" fillId="0" borderId="68" xfId="3" applyFont="1" applyFill="1" applyBorder="1" applyAlignment="1" applyProtection="1">
      <alignment horizontal="center" vertical="center"/>
    </xf>
    <xf numFmtId="0" fontId="23" fillId="0" borderId="69" xfId="3" applyFont="1" applyFill="1" applyBorder="1" applyAlignment="1" applyProtection="1">
      <alignment horizontal="left" vertical="center" wrapText="1"/>
    </xf>
    <xf numFmtId="11" fontId="36" fillId="2" borderId="49" xfId="0" applyNumberFormat="1" applyFont="1" applyFill="1" applyBorder="1" applyAlignment="1" applyProtection="1">
      <alignment horizontal="center" vertical="center"/>
    </xf>
    <xf numFmtId="0" fontId="34" fillId="0" borderId="68" xfId="3" applyFont="1" applyFill="1" applyBorder="1" applyAlignment="1" applyProtection="1">
      <alignment horizontal="center" vertical="center" wrapText="1"/>
    </xf>
    <xf numFmtId="0" fontId="34" fillId="0" borderId="72" xfId="3" applyFont="1" applyFill="1" applyBorder="1" applyAlignment="1" applyProtection="1">
      <alignment horizontal="center" vertical="center" wrapText="1"/>
    </xf>
    <xf numFmtId="0" fontId="23" fillId="0" borderId="73" xfId="3" applyFont="1" applyFill="1" applyBorder="1" applyAlignment="1" applyProtection="1">
      <alignment horizontal="left" vertical="center" wrapText="1"/>
    </xf>
    <xf numFmtId="11" fontId="36" fillId="2" borderId="76" xfId="0" applyNumberFormat="1" applyFont="1" applyFill="1" applyBorder="1" applyAlignment="1" applyProtection="1">
      <alignment horizontal="center" vertical="center"/>
    </xf>
    <xf numFmtId="0" fontId="35" fillId="0" borderId="69" xfId="3" applyFont="1" applyFill="1" applyBorder="1" applyAlignment="1" applyProtection="1">
      <alignment vertical="center"/>
    </xf>
    <xf numFmtId="11" fontId="35" fillId="0" borderId="57" xfId="3" applyNumberFormat="1" applyFont="1" applyFill="1" applyBorder="1" applyAlignment="1" applyProtection="1">
      <alignment horizontal="center" vertical="center"/>
    </xf>
    <xf numFmtId="1" fontId="35" fillId="11" borderId="46" xfId="3" applyNumberFormat="1" applyFont="1" applyFill="1" applyBorder="1" applyAlignment="1" applyProtection="1">
      <alignment horizontal="center" vertical="center" wrapText="1"/>
    </xf>
    <xf numFmtId="0" fontId="37" fillId="0" borderId="1" xfId="3" applyFont="1" applyFill="1" applyBorder="1" applyAlignment="1" applyProtection="1">
      <alignment vertical="center"/>
    </xf>
    <xf numFmtId="0" fontId="3" fillId="0" borderId="79" xfId="0" applyFont="1" applyFill="1" applyBorder="1" applyAlignment="1" applyProtection="1">
      <alignment vertical="center"/>
    </xf>
    <xf numFmtId="11" fontId="29" fillId="0" borderId="61" xfId="3" applyNumberFormat="1" applyFont="1" applyFill="1" applyBorder="1" applyAlignment="1" applyProtection="1">
      <alignment horizontal="center" vertical="center"/>
    </xf>
    <xf numFmtId="1" fontId="29" fillId="11" borderId="61" xfId="3" applyNumberFormat="1" applyFont="1" applyFill="1" applyBorder="1" applyAlignment="1" applyProtection="1">
      <alignment horizontal="center" vertical="center"/>
    </xf>
    <xf numFmtId="0" fontId="37" fillId="0" borderId="80" xfId="3" applyFont="1" applyFill="1" applyBorder="1" applyAlignment="1" applyProtection="1">
      <alignment vertical="center"/>
    </xf>
    <xf numFmtId="0" fontId="3" fillId="0" borderId="81" xfId="0" applyFont="1" applyFill="1" applyBorder="1" applyAlignment="1" applyProtection="1">
      <alignment vertical="center"/>
    </xf>
    <xf numFmtId="11" fontId="29" fillId="0" borderId="67" xfId="3" applyNumberFormat="1" applyFont="1" applyFill="1" applyBorder="1" applyAlignment="1" applyProtection="1">
      <alignment horizontal="center" vertical="center"/>
    </xf>
    <xf numFmtId="0" fontId="3" fillId="0" borderId="82" xfId="0" applyFont="1" applyFill="1" applyBorder="1" applyAlignment="1" applyProtection="1">
      <alignment vertical="center"/>
    </xf>
    <xf numFmtId="11" fontId="29" fillId="12" borderId="67" xfId="3" applyNumberFormat="1" applyFont="1" applyFill="1" applyBorder="1" applyAlignment="1" applyProtection="1">
      <alignment horizontal="center" vertical="center"/>
    </xf>
    <xf numFmtId="11" fontId="29" fillId="12" borderId="83" xfId="3" applyNumberFormat="1" applyFont="1" applyFill="1" applyBorder="1" applyAlignment="1" applyProtection="1">
      <alignment horizontal="center" vertical="center"/>
    </xf>
    <xf numFmtId="0" fontId="32" fillId="13" borderId="59" xfId="3" applyFont="1" applyFill="1" applyBorder="1" applyAlignment="1" applyProtection="1">
      <alignment horizontal="left" vertical="center" wrapText="1"/>
    </xf>
    <xf numFmtId="0" fontId="38" fillId="13" borderId="70" xfId="0" applyFont="1" applyFill="1" applyBorder="1" applyAlignment="1" applyProtection="1">
      <alignment horizontal="left" vertical="center"/>
    </xf>
    <xf numFmtId="0" fontId="32" fillId="13" borderId="74" xfId="3" applyFont="1" applyFill="1" applyBorder="1" applyAlignment="1" applyProtection="1">
      <alignment horizontal="left" vertical="center" wrapText="1"/>
    </xf>
    <xf numFmtId="11" fontId="39" fillId="13" borderId="49" xfId="3" applyNumberFormat="1" applyFont="1" applyFill="1" applyBorder="1" applyAlignment="1" applyProtection="1">
      <alignment horizontal="center" vertical="center"/>
    </xf>
    <xf numFmtId="0" fontId="23" fillId="14" borderId="86" xfId="3" applyFont="1" applyFill="1" applyBorder="1" applyAlignment="1" applyProtection="1">
      <alignment horizontal="left" vertical="center" wrapText="1"/>
    </xf>
    <xf numFmtId="11" fontId="23" fillId="0" borderId="89" xfId="3" applyNumberFormat="1" applyFont="1" applyFill="1" applyBorder="1" applyAlignment="1" applyProtection="1">
      <alignment horizontal="center" vertical="center"/>
    </xf>
    <xf numFmtId="0" fontId="41" fillId="2" borderId="0" xfId="0" applyFont="1" applyFill="1" applyProtection="1"/>
    <xf numFmtId="0" fontId="37" fillId="14" borderId="1" xfId="3" applyFont="1" applyFill="1" applyBorder="1" applyAlignment="1" applyProtection="1">
      <alignment horizontal="right" vertical="center"/>
    </xf>
    <xf numFmtId="0" fontId="37" fillId="14" borderId="1" xfId="3" applyFont="1" applyFill="1" applyBorder="1" applyAlignment="1" applyProtection="1">
      <alignment vertical="center"/>
    </xf>
    <xf numFmtId="0" fontId="37" fillId="14" borderId="31" xfId="3" applyFont="1" applyFill="1" applyBorder="1" applyAlignment="1" applyProtection="1">
      <alignment vertical="center"/>
    </xf>
    <xf numFmtId="11" fontId="37" fillId="15" borderId="61" xfId="3" applyNumberFormat="1" applyFont="1" applyFill="1" applyBorder="1" applyAlignment="1" applyProtection="1">
      <alignment horizontal="center" vertical="center"/>
      <protection locked="0"/>
    </xf>
    <xf numFmtId="11" fontId="37" fillId="15" borderId="91" xfId="3" applyNumberFormat="1" applyFont="1" applyFill="1" applyBorder="1" applyAlignment="1" applyProtection="1">
      <alignment horizontal="center" vertical="center"/>
      <protection locked="0"/>
    </xf>
    <xf numFmtId="11" fontId="37" fillId="16" borderId="61" xfId="3" applyNumberFormat="1" applyFont="1" applyFill="1" applyBorder="1" applyAlignment="1" applyProtection="1">
      <alignment horizontal="center" vertical="center"/>
      <protection locked="0"/>
    </xf>
    <xf numFmtId="0" fontId="41" fillId="0" borderId="0" xfId="0" applyFont="1" applyProtection="1"/>
    <xf numFmtId="0" fontId="37" fillId="14" borderId="79" xfId="3" applyFont="1" applyFill="1" applyBorder="1" applyAlignment="1" applyProtection="1">
      <alignment vertical="center"/>
    </xf>
    <xf numFmtId="0" fontId="37" fillId="14" borderId="93" xfId="3" applyFont="1" applyFill="1" applyBorder="1" applyAlignment="1" applyProtection="1">
      <alignment horizontal="right" vertical="center"/>
    </xf>
    <xf numFmtId="0" fontId="37" fillId="14" borderId="93" xfId="3" applyFont="1" applyFill="1" applyBorder="1" applyAlignment="1" applyProtection="1">
      <alignment vertical="center"/>
    </xf>
    <xf numFmtId="0" fontId="37" fillId="14" borderId="94" xfId="3" applyFont="1" applyFill="1" applyBorder="1" applyAlignment="1" applyProtection="1">
      <alignment vertical="center"/>
    </xf>
    <xf numFmtId="0" fontId="23" fillId="17" borderId="86" xfId="3" applyFont="1" applyFill="1" applyBorder="1" applyAlignment="1" applyProtection="1">
      <alignment horizontal="left" vertical="center"/>
    </xf>
    <xf numFmtId="2" fontId="37" fillId="11" borderId="89" xfId="3" applyNumberFormat="1" applyFont="1" applyFill="1" applyBorder="1" applyAlignment="1" applyProtection="1">
      <alignment horizontal="center" vertical="center"/>
    </xf>
    <xf numFmtId="0" fontId="23" fillId="17" borderId="93" xfId="3" applyFont="1" applyFill="1" applyBorder="1" applyAlignment="1" applyProtection="1">
      <alignment horizontal="left" vertical="center"/>
    </xf>
    <xf numFmtId="2" fontId="37" fillId="11" borderId="57" xfId="3" applyNumberFormat="1" applyFont="1" applyFill="1" applyBorder="1" applyAlignment="1" applyProtection="1">
      <alignment horizontal="center" vertical="center"/>
    </xf>
    <xf numFmtId="0" fontId="23" fillId="18" borderId="86" xfId="3" applyFont="1" applyFill="1" applyBorder="1" applyAlignment="1" applyProtection="1">
      <alignment horizontal="left" vertical="center"/>
    </xf>
    <xf numFmtId="0" fontId="23" fillId="18" borderId="1" xfId="3" applyFont="1" applyFill="1" applyBorder="1" applyAlignment="1" applyProtection="1">
      <alignment horizontal="left" vertical="center"/>
    </xf>
    <xf numFmtId="11" fontId="37" fillId="19" borderId="61" xfId="3" applyNumberFormat="1" applyFont="1" applyFill="1" applyBorder="1" applyAlignment="1" applyProtection="1">
      <alignment horizontal="center" vertical="center"/>
      <protection locked="0"/>
    </xf>
    <xf numFmtId="2" fontId="37" fillId="11" borderId="61" xfId="3" applyNumberFormat="1" applyFont="1" applyFill="1" applyBorder="1" applyAlignment="1" applyProtection="1">
      <alignment horizontal="center" vertical="center"/>
    </xf>
    <xf numFmtId="11" fontId="23" fillId="0" borderId="61" xfId="3" applyNumberFormat="1" applyFont="1" applyFill="1" applyBorder="1" applyAlignment="1" applyProtection="1">
      <alignment horizontal="center" vertical="center"/>
    </xf>
    <xf numFmtId="0" fontId="37" fillId="18" borderId="1" xfId="3" applyFont="1" applyFill="1" applyBorder="1" applyAlignment="1" applyProtection="1">
      <alignment horizontal="left" vertical="center"/>
    </xf>
    <xf numFmtId="0" fontId="23" fillId="18" borderId="93" xfId="3" applyFont="1" applyFill="1" applyBorder="1" applyAlignment="1" applyProtection="1">
      <alignment horizontal="left" vertical="center"/>
    </xf>
    <xf numFmtId="0" fontId="23" fillId="20" borderId="86" xfId="3" applyFont="1" applyFill="1" applyBorder="1" applyAlignment="1" applyProtection="1">
      <alignment horizontal="left" vertical="center"/>
    </xf>
    <xf numFmtId="0" fontId="23" fillId="20" borderId="1" xfId="3" applyFont="1" applyFill="1" applyBorder="1" applyAlignment="1" applyProtection="1">
      <alignment horizontal="left" vertical="center"/>
    </xf>
    <xf numFmtId="11" fontId="23" fillId="15" borderId="83" xfId="3" applyNumberFormat="1" applyFont="1" applyFill="1" applyBorder="1" applyAlignment="1" applyProtection="1">
      <alignment horizontal="center" vertical="center"/>
      <protection locked="0"/>
    </xf>
    <xf numFmtId="0" fontId="23" fillId="20" borderId="80" xfId="3" applyFont="1" applyFill="1" applyBorder="1" applyAlignment="1" applyProtection="1">
      <alignment horizontal="left" vertical="center"/>
    </xf>
    <xf numFmtId="11" fontId="23" fillId="15" borderId="99" xfId="3" applyNumberFormat="1" applyFont="1" applyFill="1" applyBorder="1" applyAlignment="1" applyProtection="1">
      <alignment horizontal="center" vertical="center"/>
      <protection locked="0"/>
    </xf>
    <xf numFmtId="11" fontId="23" fillId="15" borderId="50" xfId="3" applyNumberFormat="1" applyFont="1" applyFill="1" applyBorder="1" applyAlignment="1" applyProtection="1">
      <alignment horizontal="center" vertical="center"/>
      <protection locked="0"/>
    </xf>
    <xf numFmtId="2" fontId="37" fillId="11" borderId="42" xfId="3" applyNumberFormat="1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29" fillId="0" borderId="0" xfId="3" applyFont="1" applyFill="1" applyBorder="1" applyAlignment="1" applyProtection="1">
      <alignment horizontal="right" vertical="center"/>
    </xf>
    <xf numFmtId="2" fontId="30" fillId="0" borderId="0" xfId="3" applyNumberFormat="1" applyFont="1" applyFill="1" applyBorder="1" applyAlignment="1" applyProtection="1">
      <alignment horizontal="center" vertical="center"/>
    </xf>
    <xf numFmtId="2" fontId="42" fillId="15" borderId="113" xfId="3" applyNumberFormat="1" applyFont="1" applyFill="1" applyBorder="1" applyAlignment="1" applyProtection="1">
      <alignment horizontal="left" vertical="center"/>
      <protection locked="0"/>
    </xf>
    <xf numFmtId="2" fontId="42" fillId="0" borderId="120" xfId="3" applyNumberFormat="1" applyFont="1" applyFill="1" applyBorder="1" applyAlignment="1" applyProtection="1">
      <alignment horizontal="left" vertical="center"/>
      <protection locked="0"/>
    </xf>
    <xf numFmtId="2" fontId="42" fillId="0" borderId="44" xfId="3" applyNumberFormat="1" applyFont="1" applyFill="1" applyBorder="1" applyAlignment="1" applyProtection="1">
      <alignment horizontal="left" vertical="center"/>
      <protection locked="0"/>
    </xf>
    <xf numFmtId="2" fontId="42" fillId="12" borderId="125" xfId="3" applyNumberFormat="1" applyFont="1" applyFill="1" applyBorder="1" applyAlignment="1" applyProtection="1">
      <alignment horizontal="left" vertical="center"/>
      <protection locked="0"/>
    </xf>
    <xf numFmtId="2" fontId="42" fillId="12" borderId="130" xfId="3" applyNumberFormat="1" applyFont="1" applyFill="1" applyBorder="1" applyAlignment="1" applyProtection="1">
      <alignment horizontal="left" vertical="center"/>
      <protection locked="0"/>
    </xf>
    <xf numFmtId="2" fontId="34" fillId="12" borderId="130" xfId="3" applyNumberFormat="1" applyFont="1" applyFill="1" applyBorder="1" applyAlignment="1" applyProtection="1">
      <alignment horizontal="left" vertical="center"/>
      <protection locked="0"/>
    </xf>
    <xf numFmtId="2" fontId="42" fillId="12" borderId="120" xfId="3" applyNumberFormat="1" applyFont="1" applyFill="1" applyBorder="1" applyAlignment="1" applyProtection="1">
      <alignment horizontal="left" vertical="center"/>
      <protection locked="0"/>
    </xf>
    <xf numFmtId="2" fontId="42" fillId="12" borderId="131" xfId="3" applyNumberFormat="1" applyFont="1" applyFill="1" applyBorder="1" applyAlignment="1" applyProtection="1">
      <alignment horizontal="left" vertical="center"/>
      <protection locked="0"/>
    </xf>
    <xf numFmtId="0" fontId="43" fillId="22" borderId="135" xfId="3" applyFont="1" applyFill="1" applyBorder="1" applyAlignment="1" applyProtection="1">
      <alignment horizontal="left" vertical="center"/>
    </xf>
    <xf numFmtId="0" fontId="43" fillId="22" borderId="136" xfId="3" applyFont="1" applyFill="1" applyBorder="1" applyAlignment="1" applyProtection="1">
      <alignment horizontal="left" vertical="center"/>
    </xf>
    <xf numFmtId="0" fontId="43" fillId="22" borderId="137" xfId="3" applyFont="1" applyFill="1" applyBorder="1" applyAlignment="1" applyProtection="1">
      <alignment horizontal="left" vertical="center"/>
    </xf>
    <xf numFmtId="0" fontId="43" fillId="22" borderId="138" xfId="3" applyFont="1" applyFill="1" applyBorder="1" applyAlignment="1" applyProtection="1">
      <alignment horizontal="left" vertical="center"/>
    </xf>
    <xf numFmtId="0" fontId="43" fillId="22" borderId="139" xfId="3" applyFont="1" applyFill="1" applyBorder="1" applyAlignment="1" applyProtection="1">
      <alignment horizontal="left" vertical="center"/>
    </xf>
    <xf numFmtId="0" fontId="43" fillId="22" borderId="140" xfId="3" applyFont="1" applyFill="1" applyBorder="1" applyAlignment="1" applyProtection="1">
      <alignment horizontal="left" vertical="center"/>
    </xf>
    <xf numFmtId="0" fontId="34" fillId="7" borderId="143" xfId="3" applyFont="1" applyFill="1" applyBorder="1" applyAlignment="1" applyProtection="1">
      <alignment vertical="center"/>
      <protection locked="0"/>
    </xf>
    <xf numFmtId="0" fontId="34" fillId="15" borderId="148" xfId="3" applyFont="1" applyFill="1" applyBorder="1" applyAlignment="1" applyProtection="1">
      <alignment vertical="center"/>
      <protection locked="0"/>
    </xf>
    <xf numFmtId="0" fontId="34" fillId="12" borderId="154" xfId="3" applyFont="1" applyFill="1" applyBorder="1" applyAlignment="1" applyProtection="1">
      <alignment vertical="center"/>
      <protection locked="0"/>
    </xf>
    <xf numFmtId="0" fontId="34" fillId="15" borderId="160" xfId="3" applyFont="1" applyFill="1" applyBorder="1" applyAlignment="1" applyProtection="1">
      <alignment vertical="center"/>
      <protection locked="0"/>
    </xf>
    <xf numFmtId="0" fontId="34" fillId="2" borderId="0" xfId="3" applyFont="1" applyFill="1" applyBorder="1" applyAlignment="1" applyProtection="1">
      <alignment horizontal="left" vertical="center"/>
    </xf>
    <xf numFmtId="0" fontId="34" fillId="2" borderId="0" xfId="3" applyFont="1" applyFill="1" applyBorder="1" applyAlignment="1" applyProtection="1">
      <alignment horizontal="center" vertical="center"/>
    </xf>
    <xf numFmtId="0" fontId="0" fillId="7" borderId="0" xfId="0" applyFill="1" applyProtection="1"/>
    <xf numFmtId="0" fontId="0" fillId="15" borderId="0" xfId="0" applyFill="1" applyProtection="1"/>
    <xf numFmtId="0" fontId="0" fillId="12" borderId="0" xfId="0" applyFill="1" applyProtection="1"/>
    <xf numFmtId="0" fontId="0" fillId="23" borderId="0" xfId="0" applyFill="1" applyProtection="1"/>
    <xf numFmtId="0" fontId="0" fillId="0" borderId="0" xfId="0" applyAlignment="1" applyProtection="1">
      <alignment horizontal="right"/>
    </xf>
    <xf numFmtId="0" fontId="0" fillId="0" borderId="1" xfId="0" applyBorder="1" applyProtection="1"/>
    <xf numFmtId="0" fontId="0" fillId="0" borderId="0" xfId="0" applyBorder="1" applyProtection="1"/>
    <xf numFmtId="0" fontId="0" fillId="0" borderId="0" xfId="0" applyAlignment="1" applyProtection="1">
      <alignment vertical="top"/>
    </xf>
    <xf numFmtId="0" fontId="0" fillId="24" borderId="0" xfId="0" applyFill="1"/>
    <xf numFmtId="0" fontId="25" fillId="25" borderId="42" xfId="3" applyFont="1" applyFill="1" applyBorder="1" applyAlignment="1" applyProtection="1">
      <alignment horizontal="right" vertical="center"/>
    </xf>
    <xf numFmtId="0" fontId="19" fillId="0" borderId="39" xfId="0" applyFont="1" applyBorder="1" applyAlignment="1"/>
    <xf numFmtId="0" fontId="3" fillId="0" borderId="0" xfId="0" applyFont="1" applyAlignment="1" applyProtection="1"/>
    <xf numFmtId="0" fontId="3" fillId="5" borderId="1" xfId="2" applyFont="1" applyFill="1" applyBorder="1" applyProtection="1"/>
    <xf numFmtId="0" fontId="3" fillId="2" borderId="2" xfId="0" applyFont="1" applyFill="1" applyBorder="1" applyAlignment="1" applyProtection="1"/>
    <xf numFmtId="0" fontId="3" fillId="4" borderId="1" xfId="2" applyFill="1" applyBorder="1" applyProtection="1"/>
    <xf numFmtId="0" fontId="0" fillId="0" borderId="2" xfId="0" applyFont="1" applyBorder="1" applyAlignment="1" applyProtection="1"/>
    <xf numFmtId="0" fontId="0" fillId="3" borderId="1" xfId="0" applyFont="1" applyFill="1" applyBorder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left" vertical="top"/>
    </xf>
    <xf numFmtId="0" fontId="19" fillId="0" borderId="0" xfId="0" applyFont="1" applyBorder="1" applyAlignment="1" applyProtection="1"/>
    <xf numFmtId="0" fontId="0" fillId="0" borderId="0" xfId="0" quotePrefix="1" applyProtection="1"/>
    <xf numFmtId="0" fontId="0" fillId="0" borderId="0" xfId="0" quotePrefix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0" fillId="26" borderId="169" xfId="0" applyFill="1" applyBorder="1" applyProtection="1"/>
    <xf numFmtId="0" fontId="44" fillId="0" borderId="0" xfId="0" applyFont="1" applyBorder="1" applyAlignment="1" applyProtection="1">
      <alignment horizontal="left" indent="1"/>
    </xf>
    <xf numFmtId="2" fontId="3" fillId="14" borderId="1" xfId="2" applyNumberFormat="1" applyFont="1" applyFill="1" applyBorder="1" applyProtection="1"/>
    <xf numFmtId="0" fontId="0" fillId="0" borderId="0" xfId="0" applyAlignment="1" applyProtection="1">
      <alignment wrapText="1"/>
    </xf>
    <xf numFmtId="0" fontId="44" fillId="0" borderId="0" xfId="0" applyFont="1" applyBorder="1" applyAlignment="1" applyProtection="1">
      <alignment horizontal="left" indent="3"/>
    </xf>
    <xf numFmtId="0" fontId="0" fillId="14" borderId="169" xfId="0" applyFill="1" applyBorder="1" applyAlignment="1" applyProtection="1">
      <alignment horizontal="center" vertical="center"/>
    </xf>
    <xf numFmtId="2" fontId="2" fillId="26" borderId="169" xfId="0" applyNumberFormat="1" applyFont="1" applyFill="1" applyBorder="1" applyProtection="1"/>
    <xf numFmtId="2" fontId="0" fillId="26" borderId="169" xfId="0" applyNumberFormat="1" applyFill="1" applyBorder="1" applyProtection="1"/>
    <xf numFmtId="0" fontId="0" fillId="0" borderId="0" xfId="0" applyFill="1" applyProtection="1"/>
    <xf numFmtId="0" fontId="18" fillId="0" borderId="0" xfId="0" applyFont="1" applyProtection="1"/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15" fillId="0" borderId="0" xfId="0" applyFont="1" applyFill="1" applyBorder="1" applyAlignment="1" applyProtection="1">
      <alignment horizontal="center" vertical="center" textRotation="90" wrapText="1"/>
    </xf>
    <xf numFmtId="0" fontId="0" fillId="0" borderId="0" xfId="0" applyFill="1" applyBorder="1" applyProtection="1"/>
    <xf numFmtId="0" fontId="0" fillId="0" borderId="5" xfId="0" applyBorder="1" applyProtection="1"/>
    <xf numFmtId="0" fontId="0" fillId="0" borderId="13" xfId="0" applyBorder="1" applyProtection="1"/>
    <xf numFmtId="0" fontId="10" fillId="6" borderId="3" xfId="0" applyFont="1" applyFill="1" applyBorder="1" applyAlignment="1" applyProtection="1">
      <alignment horizontal="left" vertical="center"/>
    </xf>
    <xf numFmtId="0" fontId="10" fillId="6" borderId="20" xfId="0" applyFont="1" applyFill="1" applyBorder="1" applyAlignment="1" applyProtection="1">
      <alignment horizontal="left" vertical="center" wrapText="1"/>
    </xf>
    <xf numFmtId="0" fontId="10" fillId="6" borderId="20" xfId="0" applyFont="1" applyFill="1" applyBorder="1" applyAlignment="1" applyProtection="1">
      <alignment horizontal="left" vertical="center"/>
    </xf>
    <xf numFmtId="0" fontId="10" fillId="6" borderId="7" xfId="0" applyFont="1" applyFill="1" applyBorder="1" applyAlignment="1" applyProtection="1">
      <alignment horizontal="left" vertical="center" wrapText="1"/>
    </xf>
    <xf numFmtId="0" fontId="15" fillId="6" borderId="27" xfId="0" applyFont="1" applyFill="1" applyBorder="1" applyAlignment="1" applyProtection="1">
      <alignment horizontal="center" vertical="center" textRotation="90" wrapText="1"/>
    </xf>
    <xf numFmtId="0" fontId="15" fillId="6" borderId="26" xfId="0" applyFont="1" applyFill="1" applyBorder="1" applyAlignment="1" applyProtection="1">
      <alignment horizontal="center" vertical="center" textRotation="90" wrapText="1"/>
    </xf>
    <xf numFmtId="0" fontId="15" fillId="6" borderId="35" xfId="0" applyFont="1" applyFill="1" applyBorder="1" applyAlignment="1" applyProtection="1">
      <alignment horizontal="center" vertical="center" textRotation="90" wrapText="1"/>
    </xf>
    <xf numFmtId="0" fontId="15" fillId="6" borderId="29" xfId="0" applyFont="1" applyFill="1" applyBorder="1" applyAlignment="1" applyProtection="1">
      <alignment horizontal="center" vertical="center" textRotation="90" wrapText="1"/>
    </xf>
    <xf numFmtId="0" fontId="0" fillId="0" borderId="14" xfId="0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25" xfId="0" applyBorder="1" applyProtection="1"/>
    <xf numFmtId="0" fontId="0" fillId="0" borderId="24" xfId="0" applyBorder="1" applyProtection="1"/>
    <xf numFmtId="0" fontId="0" fillId="0" borderId="20" xfId="0" applyBorder="1" applyProtection="1"/>
    <xf numFmtId="0" fontId="12" fillId="0" borderId="14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3" fillId="14" borderId="164" xfId="2" applyFont="1" applyFill="1" applyBorder="1" applyProtection="1"/>
    <xf numFmtId="0" fontId="11" fillId="6" borderId="167" xfId="0" applyFont="1" applyFill="1" applyBorder="1" applyProtection="1"/>
    <xf numFmtId="0" fontId="11" fillId="6" borderId="163" xfId="0" applyFont="1" applyFill="1" applyBorder="1" applyProtection="1"/>
    <xf numFmtId="0" fontId="12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Protection="1"/>
    <xf numFmtId="0" fontId="2" fillId="0" borderId="0" xfId="0" applyFont="1" applyAlignment="1" applyProtection="1">
      <alignment wrapText="1"/>
    </xf>
    <xf numFmtId="0" fontId="0" fillId="4" borderId="7" xfId="0" applyFill="1" applyBorder="1" applyProtection="1"/>
    <xf numFmtId="0" fontId="0" fillId="4" borderId="6" xfId="0" applyFill="1" applyBorder="1" applyProtection="1"/>
    <xf numFmtId="0" fontId="0" fillId="2" borderId="3" xfId="0" applyFill="1" applyBorder="1" applyProtection="1"/>
    <xf numFmtId="0" fontId="0" fillId="2" borderId="7" xfId="0" applyFill="1" applyBorder="1" applyProtection="1"/>
    <xf numFmtId="0" fontId="0" fillId="2" borderId="4" xfId="0" applyFill="1" applyBorder="1" applyProtection="1"/>
    <xf numFmtId="0" fontId="0" fillId="4" borderId="22" xfId="0" applyFill="1" applyBorder="1" applyProtection="1"/>
    <xf numFmtId="0" fontId="9" fillId="4" borderId="4" xfId="0" applyFont="1" applyFill="1" applyBorder="1" applyProtection="1"/>
    <xf numFmtId="2" fontId="0" fillId="3" borderId="3" xfId="0" applyNumberFormat="1" applyFill="1" applyBorder="1" applyProtection="1"/>
    <xf numFmtId="0" fontId="8" fillId="0" borderId="0" xfId="0" applyFont="1" applyAlignment="1" applyProtection="1">
      <alignment horizontal="center" vertical="center" wrapText="1"/>
    </xf>
    <xf numFmtId="2" fontId="8" fillId="0" borderId="0" xfId="0" applyNumberFormat="1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top"/>
    </xf>
    <xf numFmtId="2" fontId="0" fillId="0" borderId="0" xfId="0" applyNumberFormat="1" applyAlignment="1" applyProtection="1">
      <alignment horizontal="center" vertical="top"/>
    </xf>
    <xf numFmtId="0" fontId="2" fillId="0" borderId="3" xfId="0" applyFont="1" applyBorder="1" applyProtection="1"/>
    <xf numFmtId="0" fontId="7" fillId="0" borderId="0" xfId="0" applyFont="1" applyAlignment="1" applyProtection="1">
      <alignment horizontal="center" vertical="center" wrapText="1"/>
    </xf>
    <xf numFmtId="0" fontId="2" fillId="0" borderId="0" xfId="0" applyFont="1" applyBorder="1" applyProtection="1"/>
    <xf numFmtId="0" fontId="2" fillId="0" borderId="0" xfId="0" applyFont="1" applyProtection="1"/>
    <xf numFmtId="0" fontId="0" fillId="0" borderId="0" xfId="0" applyAlignment="1" applyProtection="1">
      <alignment horizontal="center" wrapText="1"/>
    </xf>
    <xf numFmtId="0" fontId="4" fillId="0" borderId="0" xfId="0" applyFont="1" applyAlignment="1" applyProtection="1">
      <alignment vertical="top"/>
    </xf>
    <xf numFmtId="0" fontId="6" fillId="0" borderId="0" xfId="0" applyFont="1" applyAlignment="1" applyProtection="1">
      <alignment vertical="top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2" applyFill="1" applyBorder="1" applyProtection="1"/>
    <xf numFmtId="0" fontId="10" fillId="6" borderId="24" xfId="0" applyFont="1" applyFill="1" applyBorder="1" applyAlignment="1" applyProtection="1">
      <alignment horizontal="left" vertical="center" wrapText="1"/>
    </xf>
    <xf numFmtId="0" fontId="15" fillId="6" borderId="30" xfId="0" applyFont="1" applyFill="1" applyBorder="1" applyAlignment="1" applyProtection="1">
      <alignment horizontal="center" vertical="center" textRotation="90" wrapText="1"/>
    </xf>
    <xf numFmtId="0" fontId="15" fillId="6" borderId="28" xfId="0" applyFont="1" applyFill="1" applyBorder="1" applyAlignment="1" applyProtection="1">
      <alignment horizontal="center" vertical="center" textRotation="90" wrapText="1"/>
    </xf>
    <xf numFmtId="2" fontId="3" fillId="26" borderId="19" xfId="2" applyNumberFormat="1" applyFont="1" applyFill="1" applyBorder="1" applyProtection="1"/>
    <xf numFmtId="0" fontId="11" fillId="6" borderId="21" xfId="0" applyFont="1" applyFill="1" applyBorder="1" applyProtection="1"/>
    <xf numFmtId="2" fontId="3" fillId="4" borderId="171" xfId="2" applyNumberFormat="1" applyFill="1" applyBorder="1" applyProtection="1"/>
    <xf numFmtId="2" fontId="3" fillId="4" borderId="172" xfId="2" applyNumberFormat="1" applyFill="1" applyBorder="1" applyProtection="1"/>
    <xf numFmtId="2" fontId="3" fillId="4" borderId="173" xfId="2" applyNumberFormat="1" applyFill="1" applyBorder="1" applyProtection="1"/>
    <xf numFmtId="9" fontId="10" fillId="0" borderId="0" xfId="1" applyFont="1" applyFill="1" applyBorder="1" applyProtection="1"/>
    <xf numFmtId="0" fontId="0" fillId="0" borderId="7" xfId="0" applyFill="1" applyBorder="1" applyProtection="1"/>
    <xf numFmtId="2" fontId="0" fillId="0" borderId="7" xfId="0" applyNumberFormat="1" applyFill="1" applyBorder="1" applyProtection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4" borderId="33" xfId="0" applyFill="1" applyBorder="1" applyAlignment="1" applyProtection="1"/>
    <xf numFmtId="0" fontId="0" fillId="4" borderId="4" xfId="0" applyFill="1" applyBorder="1" applyAlignment="1" applyProtection="1"/>
    <xf numFmtId="0" fontId="0" fillId="0" borderId="29" xfId="0" applyFill="1" applyBorder="1" applyProtection="1"/>
    <xf numFmtId="2" fontId="9" fillId="4" borderId="4" xfId="0" applyNumberFormat="1" applyFont="1" applyFill="1" applyBorder="1" applyProtection="1"/>
    <xf numFmtId="10" fontId="0" fillId="0" borderId="0" xfId="0" applyNumberFormat="1" applyFill="1" applyBorder="1" applyProtection="1"/>
    <xf numFmtId="0" fontId="6" fillId="0" borderId="0" xfId="0" applyFont="1" applyAlignment="1" applyProtection="1">
      <alignment horizontal="left" vertical="center" indent="4"/>
    </xf>
    <xf numFmtId="2" fontId="3" fillId="5" borderId="1" xfId="2" applyNumberFormat="1" applyFont="1" applyFill="1" applyBorder="1" applyProtection="1">
      <protection locked="0"/>
    </xf>
    <xf numFmtId="2" fontId="3" fillId="5" borderId="169" xfId="2" applyNumberFormat="1" applyFont="1" applyFill="1" applyBorder="1" applyProtection="1">
      <protection locked="0"/>
    </xf>
    <xf numFmtId="0" fontId="3" fillId="14" borderId="174" xfId="2" applyFont="1" applyFill="1" applyBorder="1" applyProtection="1"/>
    <xf numFmtId="0" fontId="3" fillId="5" borderId="174" xfId="2" applyFont="1" applyFill="1" applyBorder="1" applyProtection="1">
      <protection locked="0"/>
    </xf>
    <xf numFmtId="0" fontId="3" fillId="5" borderId="165" xfId="2" applyFont="1" applyFill="1" applyBorder="1" applyProtection="1">
      <protection locked="0"/>
    </xf>
    <xf numFmtId="0" fontId="3" fillId="5" borderId="168" xfId="2" applyFont="1" applyFill="1" applyBorder="1" applyProtection="1">
      <protection locked="0"/>
    </xf>
    <xf numFmtId="0" fontId="3" fillId="5" borderId="175" xfId="2" applyFont="1" applyFill="1" applyBorder="1" applyProtection="1">
      <protection locked="0"/>
    </xf>
    <xf numFmtId="0" fontId="3" fillId="5" borderId="166" xfId="2" applyFont="1" applyFill="1" applyBorder="1" applyProtection="1">
      <protection locked="0"/>
    </xf>
    <xf numFmtId="0" fontId="3" fillId="5" borderId="19" xfId="2" applyFont="1" applyFill="1" applyBorder="1" applyAlignment="1" applyProtection="1">
      <alignment horizontal="center" vertical="center"/>
      <protection locked="0"/>
    </xf>
    <xf numFmtId="0" fontId="20" fillId="5" borderId="18" xfId="2" applyFont="1" applyFill="1" applyBorder="1" applyAlignment="1" applyProtection="1">
      <alignment horizontal="center" vertical="center"/>
      <protection locked="0"/>
    </xf>
    <xf numFmtId="0" fontId="20" fillId="5" borderId="17" xfId="2" applyFont="1" applyFill="1" applyBorder="1" applyAlignment="1" applyProtection="1">
      <alignment horizontal="center" vertical="center"/>
      <protection locked="0"/>
    </xf>
    <xf numFmtId="0" fontId="20" fillId="5" borderId="36" xfId="2" applyFont="1" applyFill="1" applyBorder="1" applyAlignment="1" applyProtection="1">
      <alignment horizontal="center" vertical="center"/>
      <protection locked="0"/>
    </xf>
    <xf numFmtId="0" fontId="20" fillId="5" borderId="16" xfId="2" applyFont="1" applyFill="1" applyBorder="1" applyAlignment="1" applyProtection="1">
      <alignment horizontal="center" vertical="center"/>
      <protection locked="0"/>
    </xf>
    <xf numFmtId="0" fontId="20" fillId="5" borderId="11" xfId="2" applyFont="1" applyFill="1" applyBorder="1" applyAlignment="1" applyProtection="1">
      <alignment horizontal="center" vertical="center"/>
      <protection locked="0"/>
    </xf>
    <xf numFmtId="0" fontId="20" fillId="5" borderId="10" xfId="2" applyFont="1" applyFill="1" applyBorder="1" applyAlignment="1" applyProtection="1">
      <alignment horizontal="center" vertical="center"/>
      <protection locked="0"/>
    </xf>
    <xf numFmtId="0" fontId="20" fillId="5" borderId="37" xfId="2" applyFont="1" applyFill="1" applyBorder="1" applyAlignment="1" applyProtection="1">
      <alignment horizontal="center" vertical="center"/>
      <protection locked="0"/>
    </xf>
    <xf numFmtId="0" fontId="20" fillId="5" borderId="9" xfId="2" applyFont="1" applyFill="1" applyBorder="1" applyAlignment="1" applyProtection="1">
      <alignment horizontal="center" vertical="center"/>
      <protection locked="0"/>
    </xf>
    <xf numFmtId="0" fontId="3" fillId="5" borderId="19" xfId="2" applyFont="1" applyFill="1" applyBorder="1" applyProtection="1">
      <protection locked="0"/>
    </xf>
    <xf numFmtId="0" fontId="3" fillId="5" borderId="12" xfId="2" applyFont="1" applyFill="1" applyBorder="1" applyProtection="1">
      <protection locked="0"/>
    </xf>
    <xf numFmtId="0" fontId="20" fillId="5" borderId="32" xfId="2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left" wrapText="1"/>
    </xf>
    <xf numFmtId="0" fontId="0" fillId="2" borderId="0" xfId="0" applyFill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0" fontId="0" fillId="0" borderId="0" xfId="0" quotePrefix="1" applyAlignment="1" applyProtection="1">
      <alignment horizontal="left" vertical="top" wrapText="1"/>
    </xf>
    <xf numFmtId="0" fontId="34" fillId="0" borderId="141" xfId="3" applyFont="1" applyFill="1" applyBorder="1" applyAlignment="1" applyProtection="1">
      <alignment horizontal="right" vertical="center"/>
    </xf>
    <xf numFmtId="0" fontId="34" fillId="0" borderId="116" xfId="3" applyFont="1" applyFill="1" applyBorder="1" applyAlignment="1" applyProtection="1">
      <alignment horizontal="right" vertical="center"/>
    </xf>
    <xf numFmtId="0" fontId="34" fillId="0" borderId="142" xfId="3" applyFont="1" applyFill="1" applyBorder="1" applyAlignment="1" applyProtection="1">
      <alignment horizontal="right" vertical="center"/>
    </xf>
    <xf numFmtId="0" fontId="34" fillId="0" borderId="144" xfId="3" applyFont="1" applyFill="1" applyBorder="1" applyAlignment="1" applyProtection="1">
      <alignment horizontal="center" vertical="center"/>
    </xf>
    <xf numFmtId="0" fontId="34" fillId="0" borderId="116" xfId="3" applyFont="1" applyFill="1" applyBorder="1" applyAlignment="1" applyProtection="1">
      <alignment horizontal="center" vertical="center"/>
    </xf>
    <xf numFmtId="0" fontId="34" fillId="0" borderId="117" xfId="3" applyFont="1" applyFill="1" applyBorder="1" applyAlignment="1" applyProtection="1">
      <alignment horizontal="center" vertical="center"/>
    </xf>
    <xf numFmtId="0" fontId="34" fillId="0" borderId="145" xfId="3" applyFont="1" applyFill="1" applyBorder="1" applyAlignment="1" applyProtection="1">
      <alignment horizontal="right" vertical="center"/>
    </xf>
    <xf numFmtId="0" fontId="34" fillId="0" borderId="146" xfId="3" applyFont="1" applyFill="1" applyBorder="1" applyAlignment="1" applyProtection="1">
      <alignment horizontal="right" vertical="center"/>
    </xf>
    <xf numFmtId="0" fontId="34" fillId="0" borderId="147" xfId="3" applyFont="1" applyFill="1" applyBorder="1" applyAlignment="1" applyProtection="1">
      <alignment horizontal="right" vertical="center"/>
    </xf>
    <xf numFmtId="0" fontId="34" fillId="0" borderId="149" xfId="3" applyFont="1" applyFill="1" applyBorder="1" applyAlignment="1" applyProtection="1">
      <alignment horizontal="center" vertical="center"/>
    </xf>
    <xf numFmtId="0" fontId="34" fillId="0" borderId="146" xfId="3" applyFont="1" applyFill="1" applyBorder="1" applyAlignment="1" applyProtection="1">
      <alignment horizontal="center" vertical="center"/>
    </xf>
    <xf numFmtId="0" fontId="34" fillId="0" borderId="150" xfId="3" applyFont="1" applyFill="1" applyBorder="1" applyAlignment="1" applyProtection="1">
      <alignment horizontal="center" vertical="center"/>
    </xf>
    <xf numFmtId="0" fontId="34" fillId="0" borderId="161" xfId="3" applyFont="1" applyFill="1" applyBorder="1" applyAlignment="1" applyProtection="1">
      <alignment horizontal="center" vertical="center"/>
    </xf>
    <xf numFmtId="0" fontId="34" fillId="0" borderId="158" xfId="3" applyFont="1" applyFill="1" applyBorder="1" applyAlignment="1" applyProtection="1">
      <alignment horizontal="center" vertical="center"/>
    </xf>
    <xf numFmtId="0" fontId="34" fillId="0" borderId="162" xfId="3" applyFont="1" applyFill="1" applyBorder="1" applyAlignment="1" applyProtection="1">
      <alignment horizontal="center" vertical="center"/>
    </xf>
    <xf numFmtId="0" fontId="34" fillId="0" borderId="157" xfId="3" applyFont="1" applyFill="1" applyBorder="1" applyAlignment="1" applyProtection="1">
      <alignment horizontal="right" vertical="center"/>
    </xf>
    <xf numFmtId="0" fontId="34" fillId="0" borderId="158" xfId="3" applyFont="1" applyFill="1" applyBorder="1" applyAlignment="1" applyProtection="1">
      <alignment horizontal="right" vertical="center"/>
    </xf>
    <xf numFmtId="0" fontId="34" fillId="0" borderId="159" xfId="3" applyFont="1" applyFill="1" applyBorder="1" applyAlignment="1" applyProtection="1">
      <alignment horizontal="right" vertical="center"/>
    </xf>
    <xf numFmtId="0" fontId="34" fillId="2" borderId="151" xfId="3" applyFont="1" applyFill="1" applyBorder="1" applyAlignment="1" applyProtection="1">
      <alignment horizontal="right" vertical="center"/>
    </xf>
    <xf numFmtId="0" fontId="34" fillId="2" borderId="152" xfId="3" applyFont="1" applyFill="1" applyBorder="1" applyAlignment="1" applyProtection="1">
      <alignment horizontal="right" vertical="center"/>
    </xf>
    <xf numFmtId="0" fontId="34" fillId="2" borderId="153" xfId="3" applyFont="1" applyFill="1" applyBorder="1" applyAlignment="1" applyProtection="1">
      <alignment horizontal="right" vertical="center"/>
    </xf>
    <xf numFmtId="0" fontId="34" fillId="2" borderId="155" xfId="3" applyFont="1" applyFill="1" applyBorder="1" applyAlignment="1" applyProtection="1">
      <alignment horizontal="center" vertical="center"/>
    </xf>
    <xf numFmtId="0" fontId="34" fillId="2" borderId="152" xfId="3" applyFont="1" applyFill="1" applyBorder="1" applyAlignment="1" applyProtection="1">
      <alignment horizontal="center" vertical="center"/>
    </xf>
    <xf numFmtId="0" fontId="34" fillId="2" borderId="156" xfId="3" applyFont="1" applyFill="1" applyBorder="1" applyAlignment="1" applyProtection="1">
      <alignment horizontal="center" vertical="center"/>
    </xf>
    <xf numFmtId="0" fontId="34" fillId="0" borderId="128" xfId="3" applyFont="1" applyFill="1" applyBorder="1" applyAlignment="1" applyProtection="1">
      <alignment horizontal="left"/>
    </xf>
    <xf numFmtId="0" fontId="0" fillId="0" borderId="129" xfId="0" applyBorder="1" applyAlignment="1" applyProtection="1">
      <alignment horizontal="left"/>
    </xf>
    <xf numFmtId="0" fontId="34" fillId="0" borderId="126" xfId="3" applyFont="1" applyFill="1" applyBorder="1" applyAlignment="1" applyProtection="1">
      <alignment horizontal="left" vertical="center"/>
    </xf>
    <xf numFmtId="0" fontId="34" fillId="0" borderId="0" xfId="3" applyFont="1" applyFill="1" applyBorder="1" applyAlignment="1" applyProtection="1">
      <alignment horizontal="left" vertical="center"/>
    </xf>
    <xf numFmtId="0" fontId="34" fillId="0" borderId="127" xfId="3" applyFont="1" applyFill="1" applyBorder="1" applyAlignment="1" applyProtection="1">
      <alignment horizontal="left" vertical="center"/>
    </xf>
    <xf numFmtId="0" fontId="23" fillId="0" borderId="132" xfId="3" applyFont="1" applyFill="1" applyBorder="1" applyAlignment="1" applyProtection="1">
      <alignment horizontal="left" vertical="center"/>
    </xf>
    <xf numFmtId="0" fontId="23" fillId="0" borderId="133" xfId="3" applyFont="1" applyFill="1" applyBorder="1" applyAlignment="1" applyProtection="1">
      <alignment horizontal="left" vertical="center"/>
    </xf>
    <xf numFmtId="0" fontId="42" fillId="0" borderId="133" xfId="3" applyNumberFormat="1" applyFont="1" applyFill="1" applyBorder="1" applyAlignment="1" applyProtection="1">
      <alignment horizontal="left" vertical="center" wrapText="1"/>
      <protection locked="0"/>
    </xf>
    <xf numFmtId="0" fontId="42" fillId="0" borderId="134" xfId="3" applyNumberFormat="1" applyFont="1" applyFill="1" applyBorder="1" applyAlignment="1" applyProtection="1">
      <alignment horizontal="left" vertical="center" wrapText="1"/>
      <protection locked="0"/>
    </xf>
    <xf numFmtId="0" fontId="23" fillId="0" borderId="126" xfId="3" applyFont="1" applyFill="1" applyBorder="1" applyAlignment="1" applyProtection="1">
      <alignment horizontal="left" vertical="center"/>
    </xf>
    <xf numFmtId="0" fontId="23" fillId="0" borderId="0" xfId="3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127" xfId="0" applyFont="1" applyFill="1" applyBorder="1" applyAlignment="1" applyProtection="1">
      <alignment horizontal="left" vertical="center" wrapText="1"/>
      <protection locked="0"/>
    </xf>
    <xf numFmtId="2" fontId="34" fillId="0" borderId="44" xfId="3" applyNumberFormat="1" applyFont="1" applyFill="1" applyBorder="1" applyAlignment="1" applyProtection="1">
      <alignment horizontal="right" vertical="center"/>
    </xf>
    <xf numFmtId="0" fontId="0" fillId="0" borderId="44" xfId="0" applyFill="1" applyBorder="1" applyAlignment="1" applyProtection="1">
      <alignment horizontal="right" vertical="center"/>
    </xf>
    <xf numFmtId="0" fontId="23" fillId="0" borderId="44" xfId="3" applyFont="1" applyFill="1" applyBorder="1" applyAlignment="1" applyProtection="1">
      <alignment horizontal="left" vertical="center"/>
    </xf>
    <xf numFmtId="0" fontId="3" fillId="0" borderId="44" xfId="0" applyFont="1" applyFill="1" applyBorder="1" applyAlignment="1" applyProtection="1">
      <alignment horizontal="left" vertical="center" wrapText="1"/>
      <protection locked="0"/>
    </xf>
    <xf numFmtId="0" fontId="34" fillId="0" borderId="123" xfId="3" applyFont="1" applyFill="1" applyBorder="1" applyAlignment="1" applyProtection="1">
      <alignment horizontal="left"/>
    </xf>
    <xf numFmtId="0" fontId="0" fillId="0" borderId="124" xfId="0" applyBorder="1" applyAlignment="1" applyProtection="1">
      <alignment horizontal="left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0" fontId="43" fillId="22" borderId="108" xfId="3" applyFont="1" applyFill="1" applyBorder="1" applyAlignment="1" applyProtection="1">
      <alignment horizontal="left" vertical="center"/>
    </xf>
    <xf numFmtId="0" fontId="43" fillId="22" borderId="109" xfId="3" applyFont="1" applyFill="1" applyBorder="1" applyAlignment="1" applyProtection="1">
      <alignment horizontal="left" vertical="center"/>
    </xf>
    <xf numFmtId="0" fontId="43" fillId="22" borderId="110" xfId="3" applyFont="1" applyFill="1" applyBorder="1" applyAlignment="1" applyProtection="1">
      <alignment horizontal="left" vertical="center"/>
    </xf>
    <xf numFmtId="0" fontId="34" fillId="0" borderId="111" xfId="3" applyFont="1" applyFill="1" applyBorder="1" applyAlignment="1" applyProtection="1">
      <alignment horizontal="right" vertical="center"/>
    </xf>
    <xf numFmtId="0" fontId="0" fillId="0" borderId="112" xfId="0" applyBorder="1" applyAlignment="1" applyProtection="1">
      <alignment horizontal="right" vertical="center"/>
    </xf>
    <xf numFmtId="0" fontId="34" fillId="0" borderId="114" xfId="3" applyFont="1" applyFill="1" applyBorder="1" applyAlignment="1" applyProtection="1">
      <alignment horizontal="left" vertical="center"/>
    </xf>
    <xf numFmtId="0" fontId="0" fillId="0" borderId="112" xfId="0" applyFill="1" applyBorder="1" applyAlignment="1" applyProtection="1">
      <alignment horizontal="left" vertical="center"/>
    </xf>
    <xf numFmtId="0" fontId="0" fillId="0" borderId="112" xfId="0" applyFill="1" applyBorder="1" applyAlignment="1" applyProtection="1">
      <alignment vertical="center"/>
    </xf>
    <xf numFmtId="0" fontId="17" fillId="23" borderId="115" xfId="0" applyFont="1" applyFill="1" applyBorder="1" applyAlignment="1" applyProtection="1">
      <alignment horizontal="left" vertical="center"/>
    </xf>
    <xf numFmtId="0" fontId="17" fillId="23" borderId="116" xfId="0" applyFont="1" applyFill="1" applyBorder="1" applyAlignment="1" applyProtection="1">
      <alignment horizontal="left" vertical="center"/>
    </xf>
    <xf numFmtId="0" fontId="17" fillId="23" borderId="117" xfId="0" applyFont="1" applyFill="1" applyBorder="1" applyAlignment="1" applyProtection="1">
      <alignment horizontal="left" vertical="center"/>
    </xf>
    <xf numFmtId="0" fontId="34" fillId="0" borderId="118" xfId="3" applyFont="1" applyFill="1" applyBorder="1" applyAlignment="1" applyProtection="1">
      <alignment horizontal="right" vertical="center"/>
    </xf>
    <xf numFmtId="0" fontId="0" fillId="0" borderId="119" xfId="0" applyFill="1" applyBorder="1" applyAlignment="1" applyProtection="1">
      <alignment horizontal="right" vertical="center"/>
    </xf>
    <xf numFmtId="0" fontId="23" fillId="0" borderId="121" xfId="3" applyFont="1" applyFill="1" applyBorder="1" applyAlignment="1" applyProtection="1">
      <alignment horizontal="left" vertical="center"/>
    </xf>
    <xf numFmtId="0" fontId="23" fillId="0" borderId="119" xfId="3" applyFont="1" applyFill="1" applyBorder="1" applyAlignment="1" applyProtection="1">
      <alignment horizontal="left" vertical="center"/>
    </xf>
    <xf numFmtId="0" fontId="3" fillId="15" borderId="119" xfId="0" applyFont="1" applyFill="1" applyBorder="1" applyAlignment="1" applyProtection="1">
      <alignment horizontal="left" vertical="center" wrapText="1"/>
      <protection locked="0"/>
    </xf>
    <xf numFmtId="0" fontId="3" fillId="15" borderId="122" xfId="0" applyFont="1" applyFill="1" applyBorder="1" applyAlignment="1" applyProtection="1">
      <alignment horizontal="left" vertical="center" wrapText="1"/>
      <protection locked="0"/>
    </xf>
    <xf numFmtId="11" fontId="23" fillId="15" borderId="67" xfId="3" applyNumberFormat="1" applyFont="1" applyFill="1" applyBorder="1" applyAlignment="1" applyProtection="1">
      <alignment horizontal="center" vertical="center"/>
      <protection locked="0"/>
    </xf>
    <xf numFmtId="11" fontId="23" fillId="15" borderId="49" xfId="3" applyNumberFormat="1" applyFont="1" applyFill="1" applyBorder="1" applyAlignment="1" applyProtection="1">
      <alignment horizontal="center" vertical="center"/>
      <protection locked="0"/>
    </xf>
    <xf numFmtId="11" fontId="23" fillId="15" borderId="76" xfId="3" applyNumberFormat="1" applyFont="1" applyFill="1" applyBorder="1" applyAlignment="1" applyProtection="1">
      <alignment horizontal="center" vertical="center"/>
      <protection locked="0"/>
    </xf>
    <xf numFmtId="11" fontId="23" fillId="19" borderId="67" xfId="3" applyNumberFormat="1" applyFont="1" applyFill="1" applyBorder="1" applyAlignment="1" applyProtection="1">
      <alignment horizontal="center" vertical="center"/>
      <protection locked="0"/>
    </xf>
    <xf numFmtId="11" fontId="23" fillId="19" borderId="49" xfId="3" applyNumberFormat="1" applyFont="1" applyFill="1" applyBorder="1" applyAlignment="1" applyProtection="1">
      <alignment horizontal="center" vertical="center"/>
      <protection locked="0"/>
    </xf>
    <xf numFmtId="11" fontId="23" fillId="19" borderId="76" xfId="3" applyNumberFormat="1" applyFont="1" applyFill="1" applyBorder="1" applyAlignment="1" applyProtection="1">
      <alignment horizontal="center" vertical="center"/>
      <protection locked="0"/>
    </xf>
    <xf numFmtId="0" fontId="23" fillId="20" borderId="82" xfId="3" applyFont="1" applyFill="1" applyBorder="1" applyAlignment="1" applyProtection="1">
      <alignment horizontal="left" vertical="center"/>
    </xf>
    <xf numFmtId="0" fontId="40" fillId="20" borderId="98" xfId="0" applyFont="1" applyFill="1" applyBorder="1" applyAlignment="1" applyProtection="1">
      <alignment horizontal="left" vertical="center"/>
    </xf>
    <xf numFmtId="0" fontId="34" fillId="21" borderId="100" xfId="3" applyFont="1" applyFill="1" applyBorder="1" applyAlignment="1" applyProtection="1">
      <alignment horizontal="center" vertical="center" wrapText="1"/>
    </xf>
    <xf numFmtId="0" fontId="34" fillId="21" borderId="104" xfId="3" applyFont="1" applyFill="1" applyBorder="1" applyAlignment="1" applyProtection="1">
      <alignment horizontal="center" vertical="center" wrapText="1"/>
    </xf>
    <xf numFmtId="0" fontId="23" fillId="21" borderId="101" xfId="3" applyFont="1" applyFill="1" applyBorder="1" applyAlignment="1" applyProtection="1">
      <alignment horizontal="center" vertical="center"/>
    </xf>
    <xf numFmtId="0" fontId="23" fillId="21" borderId="105" xfId="3" applyFont="1" applyFill="1" applyBorder="1" applyAlignment="1" applyProtection="1">
      <alignment horizontal="center" vertical="center"/>
    </xf>
    <xf numFmtId="0" fontId="23" fillId="21" borderId="102" xfId="3" applyFont="1" applyFill="1" applyBorder="1" applyAlignment="1" applyProtection="1">
      <alignment horizontal="center" vertical="center" wrapText="1"/>
    </xf>
    <xf numFmtId="0" fontId="23" fillId="21" borderId="103" xfId="3" applyFont="1" applyFill="1" applyBorder="1" applyAlignment="1" applyProtection="1">
      <alignment horizontal="center" vertical="center" wrapText="1"/>
    </xf>
    <xf numFmtId="0" fontId="23" fillId="21" borderId="106" xfId="3" applyFont="1" applyFill="1" applyBorder="1" applyAlignment="1" applyProtection="1">
      <alignment horizontal="center" vertical="center" wrapText="1"/>
    </xf>
    <xf numFmtId="0" fontId="23" fillId="21" borderId="107" xfId="3" applyFont="1" applyFill="1" applyBorder="1" applyAlignment="1" applyProtection="1">
      <alignment horizontal="center" vertical="center" wrapText="1"/>
    </xf>
    <xf numFmtId="11" fontId="23" fillId="15" borderId="83" xfId="3" applyNumberFormat="1" applyFont="1" applyFill="1" applyBorder="1" applyAlignment="1" applyProtection="1">
      <alignment horizontal="center" vertical="center"/>
      <protection locked="0"/>
    </xf>
    <xf numFmtId="11" fontId="23" fillId="15" borderId="99" xfId="3" applyNumberFormat="1" applyFont="1" applyFill="1" applyBorder="1" applyAlignment="1" applyProtection="1">
      <alignment horizontal="center" vertical="center"/>
      <protection locked="0"/>
    </xf>
    <xf numFmtId="11" fontId="23" fillId="15" borderId="50" xfId="3" applyNumberFormat="1" applyFont="1" applyFill="1" applyBorder="1" applyAlignment="1" applyProtection="1">
      <alignment horizontal="center" vertical="center"/>
      <protection locked="0"/>
    </xf>
    <xf numFmtId="0" fontId="23" fillId="18" borderId="31" xfId="3" applyFont="1" applyFill="1" applyBorder="1" applyAlignment="1" applyProtection="1">
      <alignment horizontal="left" vertical="center"/>
    </xf>
    <xf numFmtId="0" fontId="40" fillId="18" borderId="96" xfId="0" applyFont="1" applyFill="1" applyBorder="1" applyAlignment="1" applyProtection="1">
      <alignment horizontal="left" vertical="center"/>
    </xf>
    <xf numFmtId="0" fontId="37" fillId="18" borderId="31" xfId="3" applyFont="1" applyFill="1" applyBorder="1" applyAlignment="1" applyProtection="1">
      <alignment horizontal="left" vertical="center"/>
    </xf>
    <xf numFmtId="0" fontId="41" fillId="18" borderId="96" xfId="0" applyFont="1" applyFill="1" applyBorder="1" applyAlignment="1" applyProtection="1">
      <alignment horizontal="left" vertical="center"/>
    </xf>
    <xf numFmtId="0" fontId="37" fillId="18" borderId="31" xfId="3" applyFont="1" applyFill="1" applyBorder="1" applyAlignment="1" applyProtection="1">
      <alignment horizontal="left" vertical="top"/>
    </xf>
    <xf numFmtId="0" fontId="37" fillId="18" borderId="96" xfId="3" applyFont="1" applyFill="1" applyBorder="1" applyAlignment="1" applyProtection="1">
      <alignment horizontal="left" vertical="top"/>
    </xf>
    <xf numFmtId="0" fontId="37" fillId="18" borderId="96" xfId="3" applyFont="1" applyFill="1" applyBorder="1" applyAlignment="1" applyProtection="1">
      <alignment horizontal="left" vertical="center"/>
    </xf>
    <xf numFmtId="11" fontId="35" fillId="2" borderId="47" xfId="3" applyNumberFormat="1" applyFont="1" applyFill="1" applyBorder="1" applyAlignment="1" applyProtection="1">
      <alignment horizontal="center" vertical="center"/>
    </xf>
    <xf numFmtId="11" fontId="36" fillId="2" borderId="49" xfId="0" applyNumberFormat="1" applyFont="1" applyFill="1" applyBorder="1" applyAlignment="1" applyProtection="1">
      <alignment horizontal="center" vertical="center"/>
    </xf>
    <xf numFmtId="11" fontId="36" fillId="2" borderId="76" xfId="0" applyNumberFormat="1" applyFont="1" applyFill="1" applyBorder="1" applyAlignment="1" applyProtection="1">
      <alignment horizontal="center" vertical="center"/>
    </xf>
    <xf numFmtId="0" fontId="35" fillId="11" borderId="67" xfId="3" applyFont="1" applyFill="1" applyBorder="1" applyAlignment="1" applyProtection="1">
      <alignment horizontal="center" vertical="center" wrapText="1"/>
    </xf>
    <xf numFmtId="0" fontId="35" fillId="11" borderId="49" xfId="3" applyFont="1" applyFill="1" applyBorder="1" applyAlignment="1" applyProtection="1">
      <alignment horizontal="center" vertical="center" wrapText="1"/>
    </xf>
    <xf numFmtId="0" fontId="35" fillId="11" borderId="76" xfId="3" applyFont="1" applyFill="1" applyBorder="1" applyAlignment="1" applyProtection="1">
      <alignment horizontal="center" vertical="center" wrapText="1"/>
    </xf>
    <xf numFmtId="0" fontId="31" fillId="13" borderId="84" xfId="3" applyFont="1" applyFill="1" applyBorder="1" applyAlignment="1" applyProtection="1">
      <alignment horizontal="center" vertical="center" textRotation="90"/>
    </xf>
    <xf numFmtId="0" fontId="31" fillId="13" borderId="0" xfId="3" applyFont="1" applyFill="1" applyBorder="1" applyAlignment="1" applyProtection="1">
      <alignment horizontal="center" vertical="center" textRotation="90"/>
    </xf>
    <xf numFmtId="0" fontId="34" fillId="14" borderId="85" xfId="3" applyFont="1" applyFill="1" applyBorder="1" applyAlignment="1" applyProtection="1">
      <alignment horizontal="center" vertical="center"/>
    </xf>
    <xf numFmtId="0" fontId="0" fillId="14" borderId="90" xfId="0" applyFill="1" applyBorder="1" applyAlignment="1" applyProtection="1">
      <alignment horizontal="center" vertical="center"/>
    </xf>
    <xf numFmtId="0" fontId="0" fillId="14" borderId="92" xfId="0" applyFill="1" applyBorder="1" applyAlignment="1" applyProtection="1">
      <alignment horizontal="center" vertical="center"/>
    </xf>
    <xf numFmtId="0" fontId="23" fillId="14" borderId="87" xfId="3" applyFont="1" applyFill="1" applyBorder="1" applyAlignment="1" applyProtection="1">
      <alignment horizontal="left" vertical="center" wrapText="1"/>
    </xf>
    <xf numFmtId="0" fontId="40" fillId="14" borderId="88" xfId="0" applyFont="1" applyFill="1" applyBorder="1" applyAlignment="1" applyProtection="1">
      <alignment horizontal="left" vertical="center"/>
    </xf>
    <xf numFmtId="0" fontId="42" fillId="17" borderId="85" xfId="3" applyFont="1" applyFill="1" applyBorder="1" applyAlignment="1" applyProtection="1">
      <alignment horizontal="center" vertical="center"/>
    </xf>
    <xf numFmtId="0" fontId="3" fillId="17" borderId="92" xfId="0" applyFont="1" applyFill="1" applyBorder="1" applyAlignment="1" applyProtection="1">
      <alignment horizontal="center" vertical="center"/>
    </xf>
    <xf numFmtId="0" fontId="23" fillId="17" borderId="87" xfId="3" applyFont="1" applyFill="1" applyBorder="1" applyAlignment="1" applyProtection="1">
      <alignment horizontal="left" vertical="center"/>
    </xf>
    <xf numFmtId="0" fontId="40" fillId="17" borderId="88" xfId="0" applyFont="1" applyFill="1" applyBorder="1" applyAlignment="1" applyProtection="1">
      <alignment horizontal="left" vertical="center"/>
    </xf>
    <xf numFmtId="0" fontId="23" fillId="17" borderId="94" xfId="3" applyFont="1" applyFill="1" applyBorder="1" applyAlignment="1" applyProtection="1">
      <alignment horizontal="left" vertical="center"/>
    </xf>
    <xf numFmtId="0" fontId="40" fillId="17" borderId="95" xfId="0" applyFont="1" applyFill="1" applyBorder="1" applyAlignment="1" applyProtection="1">
      <alignment horizontal="left" vertical="center"/>
    </xf>
    <xf numFmtId="0" fontId="23" fillId="18" borderId="94" xfId="3" applyFont="1" applyFill="1" applyBorder="1" applyAlignment="1" applyProtection="1">
      <alignment horizontal="left" vertical="center"/>
    </xf>
    <xf numFmtId="0" fontId="40" fillId="18" borderId="95" xfId="0" applyFont="1" applyFill="1" applyBorder="1" applyAlignment="1" applyProtection="1">
      <alignment horizontal="left" vertical="center"/>
    </xf>
    <xf numFmtId="0" fontId="34" fillId="20" borderId="85" xfId="3" applyFont="1" applyFill="1" applyBorder="1" applyAlignment="1" applyProtection="1">
      <alignment horizontal="center" vertical="center"/>
    </xf>
    <xf numFmtId="0" fontId="0" fillId="20" borderId="90" xfId="0" applyFill="1" applyBorder="1" applyAlignment="1" applyProtection="1">
      <alignment horizontal="center" vertical="center"/>
    </xf>
    <xf numFmtId="0" fontId="0" fillId="20" borderId="97" xfId="0" applyFill="1" applyBorder="1" applyAlignment="1" applyProtection="1">
      <alignment horizontal="center" vertical="center"/>
    </xf>
    <xf numFmtId="0" fontId="23" fillId="20" borderId="87" xfId="3" applyFont="1" applyFill="1" applyBorder="1" applyAlignment="1" applyProtection="1">
      <alignment horizontal="left" vertical="center"/>
    </xf>
    <xf numFmtId="0" fontId="40" fillId="20" borderId="88" xfId="0" applyFont="1" applyFill="1" applyBorder="1" applyAlignment="1" applyProtection="1">
      <alignment horizontal="left" vertical="center"/>
    </xf>
    <xf numFmtId="0" fontId="23" fillId="20" borderId="31" xfId="3" applyFont="1" applyFill="1" applyBorder="1" applyAlignment="1" applyProtection="1">
      <alignment horizontal="left" vertical="center"/>
    </xf>
    <xf numFmtId="0" fontId="40" fillId="20" borderId="96" xfId="0" applyFont="1" applyFill="1" applyBorder="1" applyAlignment="1" applyProtection="1">
      <alignment horizontal="left" vertical="center"/>
    </xf>
    <xf numFmtId="0" fontId="23" fillId="20" borderId="31" xfId="3" applyFont="1" applyFill="1" applyBorder="1" applyAlignment="1" applyProtection="1">
      <alignment horizontal="left" vertical="center" wrapText="1"/>
    </xf>
    <xf numFmtId="0" fontId="34" fillId="18" borderId="85" xfId="3" applyFont="1" applyFill="1" applyBorder="1" applyAlignment="1" applyProtection="1">
      <alignment horizontal="center" vertical="center"/>
    </xf>
    <xf numFmtId="0" fontId="0" fillId="18" borderId="90" xfId="0" applyFill="1" applyBorder="1" applyAlignment="1" applyProtection="1">
      <alignment horizontal="center" vertical="center"/>
    </xf>
    <xf numFmtId="0" fontId="0" fillId="18" borderId="97" xfId="0" applyFill="1" applyBorder="1" applyAlignment="1" applyProtection="1">
      <alignment horizontal="center" vertical="center"/>
    </xf>
    <xf numFmtId="0" fontId="0" fillId="18" borderId="92" xfId="0" applyFill="1" applyBorder="1" applyAlignment="1" applyProtection="1">
      <alignment horizontal="center" vertical="center"/>
    </xf>
    <xf numFmtId="0" fontId="23" fillId="18" borderId="87" xfId="3" applyFont="1" applyFill="1" applyBorder="1" applyAlignment="1" applyProtection="1">
      <alignment horizontal="left" vertical="center"/>
    </xf>
    <xf numFmtId="0" fontId="40" fillId="18" borderId="88" xfId="0" applyFont="1" applyFill="1" applyBorder="1" applyAlignment="1" applyProtection="1">
      <alignment horizontal="left" vertical="center"/>
    </xf>
    <xf numFmtId="0" fontId="23" fillId="18" borderId="31" xfId="3" applyFont="1" applyFill="1" applyBorder="1" applyAlignment="1" applyProtection="1">
      <alignment horizontal="left" vertical="top"/>
    </xf>
    <xf numFmtId="0" fontId="23" fillId="18" borderId="96" xfId="3" applyFont="1" applyFill="1" applyBorder="1" applyAlignment="1" applyProtection="1">
      <alignment horizontal="left" vertical="top"/>
    </xf>
    <xf numFmtId="0" fontId="0" fillId="2" borderId="0" xfId="0" applyFill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24" fillId="7" borderId="39" xfId="3" applyFont="1" applyFill="1" applyBorder="1" applyAlignment="1" applyProtection="1">
      <alignment horizontal="center" vertical="center"/>
      <protection locked="0"/>
    </xf>
    <xf numFmtId="0" fontId="24" fillId="7" borderId="40" xfId="3" applyFont="1" applyFill="1" applyBorder="1" applyAlignment="1" applyProtection="1">
      <alignment horizontal="center" vertical="center"/>
      <protection locked="0"/>
    </xf>
    <xf numFmtId="0" fontId="25" fillId="8" borderId="41" xfId="3" applyFont="1" applyFill="1" applyBorder="1" applyAlignment="1" applyProtection="1">
      <alignment horizontal="left" vertical="center"/>
    </xf>
    <xf numFmtId="0" fontId="25" fillId="8" borderId="41" xfId="3" applyFont="1" applyFill="1" applyBorder="1" applyAlignment="1" applyProtection="1">
      <alignment horizontal="center" vertical="center" wrapText="1"/>
    </xf>
    <xf numFmtId="0" fontId="26" fillId="9" borderId="43" xfId="3" applyFont="1" applyFill="1" applyBorder="1" applyAlignment="1" applyProtection="1">
      <alignment horizontal="left" vertical="center"/>
    </xf>
    <xf numFmtId="0" fontId="26" fillId="9" borderId="44" xfId="3" applyFont="1" applyFill="1" applyBorder="1" applyAlignment="1" applyProtection="1">
      <alignment horizontal="left" vertical="center"/>
    </xf>
    <xf numFmtId="0" fontId="26" fillId="9" borderId="45" xfId="3" applyFont="1" applyFill="1" applyBorder="1" applyAlignment="1" applyProtection="1">
      <alignment horizontal="left" vertical="center"/>
    </xf>
    <xf numFmtId="0" fontId="26" fillId="9" borderId="50" xfId="3" applyFont="1" applyFill="1" applyBorder="1" applyAlignment="1" applyProtection="1">
      <alignment horizontal="left" vertical="center"/>
    </xf>
    <xf numFmtId="0" fontId="26" fillId="9" borderId="38" xfId="3" applyFont="1" applyFill="1" applyBorder="1" applyAlignment="1" applyProtection="1">
      <alignment horizontal="left" vertical="center"/>
    </xf>
    <xf numFmtId="0" fontId="26" fillId="9" borderId="51" xfId="3" applyFont="1" applyFill="1" applyBorder="1" applyAlignment="1" applyProtection="1">
      <alignment horizontal="left" vertical="center"/>
    </xf>
    <xf numFmtId="0" fontId="29" fillId="2" borderId="55" xfId="3" applyFont="1" applyFill="1" applyBorder="1" applyAlignment="1" applyProtection="1">
      <alignment horizontal="right" vertical="center"/>
    </xf>
    <xf numFmtId="0" fontId="31" fillId="10" borderId="58" xfId="3" applyFont="1" applyFill="1" applyBorder="1" applyAlignment="1" applyProtection="1">
      <alignment horizontal="center" vertical="center" textRotation="90"/>
    </xf>
    <xf numFmtId="0" fontId="31" fillId="10" borderId="62" xfId="3" applyFont="1" applyFill="1" applyBorder="1" applyAlignment="1" applyProtection="1">
      <alignment horizontal="center" vertical="center" textRotation="90"/>
    </xf>
    <xf numFmtId="0" fontId="35" fillId="0" borderId="65" xfId="3" applyFont="1" applyFill="1" applyBorder="1" applyAlignment="1" applyProtection="1">
      <alignment vertical="center"/>
    </xf>
    <xf numFmtId="0" fontId="35" fillId="0" borderId="70" xfId="3" applyFont="1" applyFill="1" applyBorder="1" applyAlignment="1" applyProtection="1">
      <alignment vertical="center"/>
    </xf>
    <xf numFmtId="0" fontId="35" fillId="0" borderId="74" xfId="3" applyFont="1" applyFill="1" applyBorder="1" applyAlignment="1" applyProtection="1">
      <alignment vertical="center"/>
    </xf>
    <xf numFmtId="0" fontId="35" fillId="0" borderId="66" xfId="3" applyFont="1" applyFill="1" applyBorder="1" applyAlignment="1" applyProtection="1">
      <alignment vertical="center" wrapText="1"/>
    </xf>
    <xf numFmtId="0" fontId="0" fillId="0" borderId="71" xfId="0" applyBorder="1" applyAlignment="1" applyProtection="1">
      <alignment vertical="center" wrapText="1"/>
    </xf>
    <xf numFmtId="0" fontId="0" fillId="0" borderId="75" xfId="0" applyBorder="1" applyAlignment="1" applyProtection="1">
      <alignment vertical="center" wrapText="1"/>
    </xf>
    <xf numFmtId="0" fontId="34" fillId="0" borderId="77" xfId="3" applyFont="1" applyFill="1" applyBorder="1" applyAlignment="1" applyProtection="1">
      <alignment horizontal="center" vertical="center" wrapText="1"/>
    </xf>
    <xf numFmtId="0" fontId="34" fillId="0" borderId="78" xfId="3" applyFont="1" applyFill="1" applyBorder="1" applyAlignment="1" applyProtection="1">
      <alignment horizontal="center" vertical="center" wrapText="1"/>
    </xf>
    <xf numFmtId="0" fontId="23" fillId="0" borderId="65" xfId="3" applyFont="1" applyFill="1" applyBorder="1" applyAlignment="1" applyProtection="1">
      <alignment horizontal="center" vertical="center"/>
    </xf>
    <xf numFmtId="0" fontId="23" fillId="0" borderId="70" xfId="3" applyFont="1" applyFill="1" applyBorder="1" applyAlignment="1" applyProtection="1">
      <alignment horizontal="center" vertical="center"/>
    </xf>
    <xf numFmtId="0" fontId="21" fillId="6" borderId="7" xfId="0" applyFont="1" applyFill="1" applyBorder="1" applyAlignment="1" applyProtection="1">
      <alignment horizontal="center" vertical="center" wrapText="1"/>
    </xf>
    <xf numFmtId="0" fontId="21" fillId="6" borderId="4" xfId="0" applyFont="1" applyFill="1" applyBorder="1" applyAlignment="1" applyProtection="1">
      <alignment horizontal="center" vertical="center" wrapText="1"/>
    </xf>
    <xf numFmtId="0" fontId="21" fillId="6" borderId="22" xfId="0" applyFont="1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left"/>
    </xf>
    <xf numFmtId="0" fontId="0" fillId="4" borderId="4" xfId="0" applyFill="1" applyBorder="1" applyAlignment="1" applyProtection="1">
      <alignment horizontal="left"/>
    </xf>
    <xf numFmtId="0" fontId="13" fillId="0" borderId="7" xfId="0" applyFont="1" applyBorder="1" applyAlignment="1" applyProtection="1">
      <alignment horizontal="center"/>
    </xf>
    <xf numFmtId="0" fontId="13" fillId="0" borderId="22" xfId="0" applyFont="1" applyBorder="1" applyAlignment="1" applyProtection="1">
      <alignment horizontal="center"/>
    </xf>
    <xf numFmtId="0" fontId="11" fillId="6" borderId="20" xfId="0" applyFont="1" applyFill="1" applyBorder="1" applyAlignment="1" applyProtection="1">
      <alignment horizontal="center" vertical="center" wrapText="1"/>
    </xf>
    <xf numFmtId="0" fontId="11" fillId="6" borderId="15" xfId="0" applyFont="1" applyFill="1" applyBorder="1" applyAlignment="1" applyProtection="1">
      <alignment horizontal="center" vertical="center" wrapText="1"/>
    </xf>
    <xf numFmtId="0" fontId="11" fillId="6" borderId="8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/>
    </xf>
    <xf numFmtId="0" fontId="0" fillId="2" borderId="23" xfId="0" applyFill="1" applyBorder="1" applyAlignment="1" applyProtection="1">
      <alignment horizontal="center"/>
    </xf>
    <xf numFmtId="0" fontId="14" fillId="6" borderId="7" xfId="0" applyFont="1" applyFill="1" applyBorder="1" applyAlignment="1" applyProtection="1">
      <alignment horizontal="center" vertical="center" wrapText="1"/>
    </xf>
    <xf numFmtId="0" fontId="14" fillId="6" borderId="22" xfId="0" applyFont="1" applyFill="1" applyBorder="1" applyAlignment="1" applyProtection="1">
      <alignment horizontal="center" vertical="center" wrapText="1"/>
    </xf>
    <xf numFmtId="0" fontId="11" fillId="6" borderId="163" xfId="0" applyFont="1" applyFill="1" applyBorder="1" applyAlignment="1" applyProtection="1">
      <alignment horizontal="center" vertical="center" wrapText="1"/>
    </xf>
    <xf numFmtId="0" fontId="11" fillId="6" borderId="13" xfId="0" applyFont="1" applyFill="1" applyBorder="1" applyAlignment="1" applyProtection="1">
      <alignment horizontal="center" vertical="center" wrapText="1"/>
    </xf>
    <xf numFmtId="0" fontId="11" fillId="6" borderId="170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</cellXfs>
  <cellStyles count="4">
    <cellStyle name="Excel Built-in Normal" xfId="3"/>
    <cellStyle name="Prozent" xfId="1" builtinId="5"/>
    <cellStyle name="Standard" xfId="0" builtinId="0"/>
    <cellStyle name="Standard 4" xfId="2"/>
  </cellStyles>
  <dxfs count="2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ont>
        <u/>
        <color theme="0"/>
      </font>
      <fill>
        <patternFill patternType="none">
          <fgColor indexed="64"/>
          <bgColor auto="1"/>
        </patternFill>
      </fill>
    </dxf>
    <dxf>
      <fill>
        <patternFill patternType="solid">
          <fgColor indexed="26"/>
          <bgColor indexed="9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_Team\27_Robin%20Beusing\Karen\MA\Produkttabelle_Gewichtung_versuc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P_Oeff/01_Buero-und%20Verwaltungsgeb&#228;ude/NBV15.2_NBV15%20(15.05.15)/02_Tools/ENV1.1_ENV2.1%20&#214;kobilanz%20Formblatt/&#214;kobilanzFormblatt-Innenr&#228;ume/180503_DGNB%20Formblatt_L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V1.1"/>
      <sheetName val="Tabelle2"/>
      <sheetName val="Tabelle3"/>
    </sheetNames>
    <sheetDataSet>
      <sheetData sheetId="0"/>
      <sheetData sheetId="1">
        <row r="2">
          <cell r="A2" t="str">
            <v>≤ 500</v>
          </cell>
        </row>
        <row r="3">
          <cell r="A3" t="str">
            <v>≥ 500</v>
          </cell>
        </row>
      </sheetData>
      <sheetData sheetId="2">
        <row r="2">
          <cell r="A2" t="str">
            <v>Schreibtisch AS1</v>
          </cell>
        </row>
        <row r="3">
          <cell r="A3" t="str">
            <v>Schreibtisch AS2</v>
          </cell>
        </row>
        <row r="4">
          <cell r="A4" t="str">
            <v>Schreibtisch AS3</v>
          </cell>
        </row>
        <row r="5">
          <cell r="A5" t="str">
            <v>Sideboards 75cm Höhe AS1</v>
          </cell>
        </row>
        <row r="6">
          <cell r="A6" t="str">
            <v>Sideboards 75cm Höhe AS2</v>
          </cell>
        </row>
        <row r="7">
          <cell r="A7" t="str">
            <v>Sideboards 75cm Höhe AS3</v>
          </cell>
        </row>
        <row r="8">
          <cell r="A8" t="str">
            <v>Sideboards 90cm Höhe AS1</v>
          </cell>
        </row>
        <row r="9">
          <cell r="A9" t="str">
            <v>Sideboards 90cm Höhe AS2</v>
          </cell>
        </row>
        <row r="10">
          <cell r="A10" t="str">
            <v>Sideboards 90cm Höhe AS3</v>
          </cell>
        </row>
        <row r="11">
          <cell r="A11" t="str">
            <v>Regal / Schrank 190cm Höhe AS1</v>
          </cell>
        </row>
        <row r="12">
          <cell r="A12" t="str">
            <v>Regal / Schrank 190cm Höhe AS2</v>
          </cell>
        </row>
        <row r="13">
          <cell r="A13" t="str">
            <v>Regal / Schrank 190cm Höhe AS3</v>
          </cell>
        </row>
        <row r="14">
          <cell r="A14" t="str">
            <v>Rollcontainer 59cm Höhe AS1</v>
          </cell>
        </row>
        <row r="20">
          <cell r="A20" t="str">
            <v>Tische</v>
          </cell>
        </row>
        <row r="21">
          <cell r="A21" t="str">
            <v>Rollcontainer</v>
          </cell>
        </row>
        <row r="22">
          <cell r="A22" t="str">
            <v>Stühle</v>
          </cell>
        </row>
        <row r="23">
          <cell r="A23" t="str">
            <v>Sessel / Sofas</v>
          </cell>
        </row>
        <row r="24">
          <cell r="A24" t="str">
            <v>Stauraummöbel (z.B. Regal-, Schubladen-, Vitrinenelemente ...)</v>
          </cell>
        </row>
        <row r="25">
          <cell r="A25" t="str">
            <v>Kücheneinrichtungen wird jeder Ober- oder Unterschrank</v>
          </cell>
        </row>
        <row r="26">
          <cell r="A26" t="str">
            <v xml:space="preserve">Empfangstheken oder Coffee Point Thekenelemente </v>
          </cell>
        </row>
        <row r="27">
          <cell r="A27" t="str">
            <v>Sonstiges</v>
          </cell>
        </row>
        <row r="31">
          <cell r="A31" t="str">
            <v>JA</v>
          </cell>
        </row>
        <row r="32">
          <cell r="A32" t="str">
            <v>NEIN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GNB LCA Results"/>
      <sheetName val="Construction"/>
      <sheetName val="Use"/>
      <sheetName val="Ökobau.dat-Version"/>
    </sheetNames>
    <sheetDataSet>
      <sheetData sheetId="0"/>
      <sheetData sheetId="1">
        <row r="3">
          <cell r="B3" t="str">
            <v>CORE14</v>
          </cell>
          <cell r="C3">
            <v>9.4</v>
          </cell>
          <cell r="D3">
            <v>5.3000000000000001E-7</v>
          </cell>
          <cell r="E3">
            <v>4.1999999999999997E-3</v>
          </cell>
          <cell r="F3">
            <v>3.6999999999999998E-2</v>
          </cell>
          <cell r="G3">
            <v>4.7000000000000002E-3</v>
          </cell>
          <cell r="H3">
            <v>123</v>
          </cell>
          <cell r="I3">
            <v>151</v>
          </cell>
        </row>
        <row r="4">
          <cell r="B4" t="str">
            <v>NBV15</v>
          </cell>
          <cell r="C4">
            <v>9.4</v>
          </cell>
          <cell r="D4">
            <v>5.3000000000000001E-7</v>
          </cell>
          <cell r="E4">
            <v>4.1999999999999997E-3</v>
          </cell>
          <cell r="F4">
            <v>3.6999999999999998E-2</v>
          </cell>
          <cell r="G4">
            <v>4.7000000000000002E-3</v>
          </cell>
          <cell r="H4">
            <v>123</v>
          </cell>
          <cell r="I4">
            <v>151</v>
          </cell>
        </row>
        <row r="5">
          <cell r="B5" t="str">
            <v>NBV12_U</v>
          </cell>
          <cell r="C5">
            <v>9.4</v>
          </cell>
          <cell r="D5">
            <v>5.3000000000000001E-7</v>
          </cell>
          <cell r="E5">
            <v>4.1999999999999997E-3</v>
          </cell>
          <cell r="F5">
            <v>3.6999999999999998E-2</v>
          </cell>
          <cell r="G5">
            <v>4.7000000000000002E-3</v>
          </cell>
          <cell r="H5">
            <v>123</v>
          </cell>
          <cell r="I5">
            <v>151</v>
          </cell>
        </row>
        <row r="6">
          <cell r="B6" t="str">
            <v>NBI15</v>
          </cell>
          <cell r="C6">
            <v>9.4</v>
          </cell>
          <cell r="D6">
            <v>5.3000000000000001E-7</v>
          </cell>
          <cell r="E6">
            <v>4.1999999999999997E-3</v>
          </cell>
          <cell r="F6">
            <v>3.6999999999999998E-2</v>
          </cell>
          <cell r="G6">
            <v>4.7000000000000002E-3</v>
          </cell>
          <cell r="H6">
            <v>123</v>
          </cell>
          <cell r="I6">
            <v>151</v>
          </cell>
        </row>
        <row r="7">
          <cell r="B7" t="str">
            <v>NBI12_U</v>
          </cell>
          <cell r="C7">
            <v>9.4</v>
          </cell>
          <cell r="D7">
            <v>5.3000000000000001E-7</v>
          </cell>
          <cell r="E7">
            <v>4.1999999999999997E-3</v>
          </cell>
          <cell r="F7">
            <v>3.6999999999999998E-2</v>
          </cell>
          <cell r="G7">
            <v>4.7000000000000002E-3</v>
          </cell>
          <cell r="H7">
            <v>123</v>
          </cell>
          <cell r="I7">
            <v>151</v>
          </cell>
        </row>
        <row r="8">
          <cell r="B8" t="str">
            <v>NBI12_Kita</v>
          </cell>
          <cell r="C8">
            <v>9.4</v>
          </cell>
          <cell r="D8">
            <v>5.3000000000000001E-7</v>
          </cell>
          <cell r="E8">
            <v>4.1999999999999997E-3</v>
          </cell>
          <cell r="F8">
            <v>3.6999999999999998E-2</v>
          </cell>
          <cell r="G8">
            <v>4.7000000000000002E-3</v>
          </cell>
          <cell r="H8">
            <v>123</v>
          </cell>
          <cell r="I8">
            <v>151</v>
          </cell>
        </row>
        <row r="9">
          <cell r="B9" t="str">
            <v>NWO15</v>
          </cell>
          <cell r="C9">
            <v>9.4</v>
          </cell>
          <cell r="D9">
            <v>5.3000000000000001E-7</v>
          </cell>
          <cell r="E9">
            <v>4.1999999999999997E-3</v>
          </cell>
          <cell r="F9">
            <v>3.6999999999999998E-2</v>
          </cell>
          <cell r="G9">
            <v>4.7000000000000002E-3</v>
          </cell>
          <cell r="H9">
            <v>123</v>
          </cell>
          <cell r="I9">
            <v>151</v>
          </cell>
        </row>
        <row r="10">
          <cell r="B10" t="str">
            <v>NWO12_U</v>
          </cell>
          <cell r="C10">
            <v>9.4</v>
          </cell>
          <cell r="D10">
            <v>5.3000000000000001E-7</v>
          </cell>
          <cell r="E10">
            <v>4.1999999999999997E-3</v>
          </cell>
          <cell r="F10">
            <v>3.6999999999999998E-2</v>
          </cell>
          <cell r="G10">
            <v>4.7000000000000002E-3</v>
          </cell>
          <cell r="H10">
            <v>123</v>
          </cell>
          <cell r="I10">
            <v>151</v>
          </cell>
        </row>
        <row r="11">
          <cell r="B11" t="str">
            <v>NKW13</v>
          </cell>
          <cell r="C11">
            <v>5.4</v>
          </cell>
          <cell r="D11">
            <v>3.3999999999999997E-7</v>
          </cell>
          <cell r="E11">
            <v>2.7000000000000001E-3</v>
          </cell>
          <cell r="F11">
            <v>2.1000000000000001E-2</v>
          </cell>
          <cell r="G11">
            <v>2.5999999999999999E-3</v>
          </cell>
          <cell r="H11">
            <v>65</v>
          </cell>
          <cell r="I11">
            <v>130</v>
          </cell>
        </row>
        <row r="12">
          <cell r="B12" t="str">
            <v>NGH15</v>
          </cell>
          <cell r="C12">
            <v>9.4</v>
          </cell>
          <cell r="D12">
            <v>5.3000000000000001E-7</v>
          </cell>
          <cell r="E12">
            <v>3.0999999999999999E-3</v>
          </cell>
          <cell r="F12">
            <v>2.4E-2</v>
          </cell>
          <cell r="G12">
            <v>4.0000000000000001E-3</v>
          </cell>
          <cell r="H12">
            <v>173.9</v>
          </cell>
          <cell r="I12">
            <v>223.2</v>
          </cell>
        </row>
        <row r="13">
          <cell r="B13" t="str">
            <v>NSC15</v>
          </cell>
          <cell r="C13">
            <v>9.4</v>
          </cell>
          <cell r="D13">
            <v>5.3000000000000001E-7</v>
          </cell>
          <cell r="E13">
            <v>3.0999999999999999E-3</v>
          </cell>
          <cell r="F13">
            <v>2.4E-2</v>
          </cell>
          <cell r="G13">
            <v>4.0000000000000001E-3</v>
          </cell>
          <cell r="H13">
            <v>173.9</v>
          </cell>
          <cell r="I13">
            <v>223.2</v>
          </cell>
        </row>
        <row r="14">
          <cell r="B14" t="str">
            <v>NVM15</v>
          </cell>
          <cell r="C14">
            <v>9.4</v>
          </cell>
          <cell r="D14">
            <v>5.3000000000000001E-7</v>
          </cell>
          <cell r="E14">
            <v>3.0999999999999999E-3</v>
          </cell>
          <cell r="F14">
            <v>2.4E-2</v>
          </cell>
          <cell r="G14">
            <v>4.0000000000000001E-3</v>
          </cell>
          <cell r="H14">
            <v>173.9</v>
          </cell>
          <cell r="I14">
            <v>223.2</v>
          </cell>
        </row>
        <row r="15">
          <cell r="B15" t="str">
            <v>NHA13_Typ4</v>
          </cell>
          <cell r="C15">
            <v>9.4</v>
          </cell>
          <cell r="D15">
            <v>5.3000000000000001E-7</v>
          </cell>
          <cell r="E15">
            <v>3.0999999999999999E-3</v>
          </cell>
          <cell r="F15">
            <v>2.4E-2</v>
          </cell>
          <cell r="G15">
            <v>4.0000000000000001E-3</v>
          </cell>
          <cell r="H15">
            <v>173.9</v>
          </cell>
          <cell r="I15">
            <v>223.2</v>
          </cell>
        </row>
        <row r="16">
          <cell r="B16" t="str">
            <v>NHA12_Typ2_U</v>
          </cell>
          <cell r="C16">
            <v>9.4</v>
          </cell>
          <cell r="D16">
            <v>5.3000000000000001E-7</v>
          </cell>
          <cell r="E16">
            <v>3.0999999999999999E-3</v>
          </cell>
          <cell r="F16">
            <v>2.4E-2</v>
          </cell>
          <cell r="G16">
            <v>4.0000000000000001E-3</v>
          </cell>
          <cell r="H16">
            <v>173.9</v>
          </cell>
          <cell r="I16">
            <v>223.2</v>
          </cell>
        </row>
        <row r="17">
          <cell r="B17" t="str">
            <v>NHA12_Typ1_U</v>
          </cell>
          <cell r="C17">
            <v>9.4</v>
          </cell>
          <cell r="D17">
            <v>5.3000000000000001E-7</v>
          </cell>
          <cell r="E17">
            <v>3.0999999999999999E-3</v>
          </cell>
          <cell r="F17">
            <v>2.4E-2</v>
          </cell>
          <cell r="G17">
            <v>4.0000000000000001E-3</v>
          </cell>
          <cell r="H17">
            <v>173.9</v>
          </cell>
          <cell r="I17">
            <v>223.2</v>
          </cell>
        </row>
        <row r="18">
          <cell r="B18" t="str">
            <v>NLO15</v>
          </cell>
          <cell r="C18">
            <v>25</v>
          </cell>
          <cell r="D18">
            <v>9.9999999999999995E-8</v>
          </cell>
          <cell r="E18">
            <v>6.4999999999999997E-3</v>
          </cell>
          <cell r="F18">
            <v>0.06</v>
          </cell>
          <cell r="G18">
            <v>7.7999999999999996E-3</v>
          </cell>
          <cell r="H18">
            <v>252</v>
          </cell>
          <cell r="I18">
            <v>270</v>
          </cell>
        </row>
        <row r="19">
          <cell r="B19" t="str">
            <v>NPS15</v>
          </cell>
          <cell r="C19">
            <v>25</v>
          </cell>
          <cell r="D19">
            <v>9.9999999999999995E-8</v>
          </cell>
          <cell r="E19">
            <v>6.4999999999999997E-3</v>
          </cell>
          <cell r="F19">
            <v>0.06</v>
          </cell>
          <cell r="G19">
            <v>7.7999999999999996E-3</v>
          </cell>
          <cell r="H19">
            <v>252</v>
          </cell>
          <cell r="I19">
            <v>270</v>
          </cell>
        </row>
        <row r="20">
          <cell r="B20" t="str">
            <v>NIN12_Typ1_U</v>
          </cell>
          <cell r="C20">
            <v>25</v>
          </cell>
          <cell r="D20">
            <v>9.9999999999999995E-8</v>
          </cell>
          <cell r="E20">
            <v>6.4999999999999997E-3</v>
          </cell>
          <cell r="F20">
            <v>0.06</v>
          </cell>
          <cell r="G20">
            <v>7.7999999999999996E-3</v>
          </cell>
          <cell r="H20">
            <v>252</v>
          </cell>
          <cell r="I20">
            <v>270</v>
          </cell>
        </row>
        <row r="21">
          <cell r="B21" t="str">
            <v>NIN12_Typ2_U</v>
          </cell>
          <cell r="C21">
            <v>25</v>
          </cell>
          <cell r="D21">
            <v>9.9999999999999995E-8</v>
          </cell>
          <cell r="E21">
            <v>6.4999999999999997E-3</v>
          </cell>
          <cell r="F21">
            <v>0.06</v>
          </cell>
          <cell r="G21">
            <v>7.7999999999999996E-3</v>
          </cell>
          <cell r="H21">
            <v>252</v>
          </cell>
          <cell r="I21">
            <v>270</v>
          </cell>
        </row>
        <row r="22">
          <cell r="B22" t="str">
            <v>NHO12_U</v>
          </cell>
          <cell r="C22">
            <v>9.4</v>
          </cell>
          <cell r="D22">
            <v>5.3000000000000001E-7</v>
          </cell>
          <cell r="E22">
            <v>4.1999999999999997E-3</v>
          </cell>
          <cell r="F22">
            <v>3.6999999999999998E-2</v>
          </cell>
          <cell r="G22">
            <v>4.7000000000000002E-3</v>
          </cell>
          <cell r="H22">
            <v>123</v>
          </cell>
          <cell r="I22">
            <v>151</v>
          </cell>
        </row>
        <row r="23">
          <cell r="B23" t="str">
            <v>NHO15</v>
          </cell>
          <cell r="C23">
            <v>9.4</v>
          </cell>
          <cell r="D23">
            <v>5.3000000000000001E-7</v>
          </cell>
          <cell r="E23">
            <v>4.1999999999999997E-3</v>
          </cell>
          <cell r="F23">
            <v>3.6999999999999998E-2</v>
          </cell>
          <cell r="G23">
            <v>4.7000000000000002E-3</v>
          </cell>
          <cell r="H23">
            <v>123</v>
          </cell>
          <cell r="I23">
            <v>151</v>
          </cell>
        </row>
        <row r="24">
          <cell r="B24" t="str">
            <v>NGB13</v>
          </cell>
          <cell r="C24">
            <v>9.4</v>
          </cell>
          <cell r="D24">
            <v>5.3000000000000001E-7</v>
          </cell>
          <cell r="E24">
            <v>4.1999999999999997E-3</v>
          </cell>
          <cell r="F24">
            <v>3.6999999999999998E-2</v>
          </cell>
          <cell r="G24">
            <v>4.7000000000000002E-3</v>
          </cell>
          <cell r="H24">
            <v>123</v>
          </cell>
          <cell r="I24">
            <v>151</v>
          </cell>
        </row>
        <row r="25">
          <cell r="B25" t="str">
            <v>NLO15</v>
          </cell>
          <cell r="C25">
            <v>2.4</v>
          </cell>
          <cell r="D25">
            <v>9.5000000000000007E-9</v>
          </cell>
          <cell r="E25">
            <v>6.2E-4</v>
          </cell>
          <cell r="F25">
            <v>5.7000000000000002E-3</v>
          </cell>
          <cell r="G25">
            <v>7.3999999999999999E-4</v>
          </cell>
          <cell r="H25">
            <v>24</v>
          </cell>
          <cell r="I25">
            <v>25.7</v>
          </cell>
        </row>
        <row r="26">
          <cell r="B26" t="str">
            <v>NPS15</v>
          </cell>
          <cell r="C26">
            <v>2.4</v>
          </cell>
          <cell r="D26">
            <v>9.5000000000000007E-9</v>
          </cell>
          <cell r="E26">
            <v>6.2E-4</v>
          </cell>
          <cell r="F26">
            <v>5.7000000000000002E-3</v>
          </cell>
          <cell r="G26">
            <v>7.3999999999999999E-4</v>
          </cell>
          <cell r="H26">
            <v>24</v>
          </cell>
          <cell r="I26">
            <v>25.7</v>
          </cell>
        </row>
        <row r="27">
          <cell r="B27" t="str">
            <v>NIN12_Typ1_U</v>
          </cell>
          <cell r="C27">
            <v>2.4</v>
          </cell>
          <cell r="D27">
            <v>9.5000000000000007E-9</v>
          </cell>
          <cell r="E27">
            <v>6.2E-4</v>
          </cell>
          <cell r="F27">
            <v>5.7000000000000002E-3</v>
          </cell>
          <cell r="G27">
            <v>7.3999999999999999E-4</v>
          </cell>
          <cell r="H27">
            <v>24</v>
          </cell>
          <cell r="I27">
            <v>25.7</v>
          </cell>
        </row>
        <row r="28">
          <cell r="B28" t="str">
            <v>NIN12_Typ2_U</v>
          </cell>
          <cell r="C28">
            <v>2.4</v>
          </cell>
          <cell r="D28">
            <v>9.5000000000000007E-9</v>
          </cell>
          <cell r="E28">
            <v>6.2E-4</v>
          </cell>
          <cell r="F28">
            <v>5.7000000000000002E-3</v>
          </cell>
          <cell r="G28">
            <v>7.3999999999999999E-4</v>
          </cell>
          <cell r="H28">
            <v>24</v>
          </cell>
          <cell r="I28">
            <v>25.7</v>
          </cell>
        </row>
      </sheetData>
      <sheetData sheetId="2">
        <row r="3">
          <cell r="B3" t="str">
            <v>CORE14</v>
          </cell>
          <cell r="C3">
            <v>0.62</v>
          </cell>
          <cell r="D3">
            <v>3.0699999999999999E-9</v>
          </cell>
          <cell r="E3">
            <v>7.6199999999999995E-5</v>
          </cell>
          <cell r="F3">
            <v>1.0300000000000001E-3</v>
          </cell>
          <cell r="G3">
            <v>9.9199999999999999E-5</v>
          </cell>
          <cell r="H3">
            <v>8.7799999999999994</v>
          </cell>
          <cell r="I3">
            <v>10.26</v>
          </cell>
        </row>
        <row r="4">
          <cell r="B4" t="str">
            <v>NBV15</v>
          </cell>
          <cell r="C4">
            <v>0.62</v>
          </cell>
          <cell r="D4">
            <v>3.0699999999999999E-9</v>
          </cell>
          <cell r="E4">
            <v>7.6000000000000004E-5</v>
          </cell>
          <cell r="F4">
            <v>1.0300000000000001E-3</v>
          </cell>
          <cell r="G4">
            <v>9.8999999999999994E-5</v>
          </cell>
          <cell r="H4">
            <v>8.8000000000000007</v>
          </cell>
          <cell r="I4">
            <v>10.3</v>
          </cell>
        </row>
        <row r="5">
          <cell r="B5" t="str">
            <v>NBV12_U</v>
          </cell>
          <cell r="C5">
            <v>0.62</v>
          </cell>
          <cell r="D5">
            <v>3.0699999999999999E-9</v>
          </cell>
          <cell r="E5">
            <v>7.6199999999999995E-5</v>
          </cell>
          <cell r="F5">
            <v>1.0300000000000001E-3</v>
          </cell>
          <cell r="G5">
            <v>9.9199999999999999E-5</v>
          </cell>
          <cell r="H5">
            <v>8.7799999999999994</v>
          </cell>
          <cell r="I5">
            <v>10.26</v>
          </cell>
        </row>
        <row r="6">
          <cell r="B6" t="str">
            <v>NBI15</v>
          </cell>
          <cell r="C6">
            <v>0.62</v>
          </cell>
          <cell r="D6">
            <v>3.0699999999999999E-9</v>
          </cell>
          <cell r="E6">
            <v>7.6000000000000004E-5</v>
          </cell>
          <cell r="F6">
            <v>1.0300000000000001E-3</v>
          </cell>
          <cell r="G6">
            <v>9.8999999999999994E-5</v>
          </cell>
          <cell r="H6">
            <v>8.8000000000000007</v>
          </cell>
          <cell r="I6">
            <v>10.3</v>
          </cell>
        </row>
        <row r="7">
          <cell r="B7" t="str">
            <v>NBI12_U</v>
          </cell>
          <cell r="C7">
            <v>0.62</v>
          </cell>
          <cell r="D7">
            <v>3.0699999999999999E-9</v>
          </cell>
          <cell r="E7">
            <v>7.6199999999999995E-5</v>
          </cell>
          <cell r="F7">
            <v>1.0300000000000001E-3</v>
          </cell>
          <cell r="G7">
            <v>9.9199999999999999E-5</v>
          </cell>
          <cell r="H7">
            <v>8.7799999999999994</v>
          </cell>
          <cell r="I7">
            <v>10.26</v>
          </cell>
        </row>
        <row r="8">
          <cell r="B8" t="str">
            <v>NBI12_Kita</v>
          </cell>
          <cell r="C8">
            <v>0.62</v>
          </cell>
          <cell r="D8">
            <v>3.0699999999999999E-9</v>
          </cell>
          <cell r="E8">
            <v>7.6199999999999995E-5</v>
          </cell>
          <cell r="F8">
            <v>1.0300000000000001E-3</v>
          </cell>
          <cell r="G8">
            <v>9.9199999999999999E-5</v>
          </cell>
          <cell r="H8">
            <v>8.7799999999999994</v>
          </cell>
          <cell r="I8">
            <v>10.26</v>
          </cell>
        </row>
        <row r="9">
          <cell r="B9" t="str">
            <v>NWO15</v>
          </cell>
          <cell r="C9">
            <v>0.62</v>
          </cell>
          <cell r="D9">
            <v>3.0699999999999999E-9</v>
          </cell>
          <cell r="E9">
            <v>7.6000000000000004E-5</v>
          </cell>
          <cell r="F9">
            <v>1.0300000000000001E-3</v>
          </cell>
          <cell r="G9">
            <v>9.8999999999999994E-5</v>
          </cell>
          <cell r="H9">
            <v>8.8000000000000007</v>
          </cell>
          <cell r="I9">
            <v>10.3</v>
          </cell>
        </row>
        <row r="10">
          <cell r="B10" t="str">
            <v>NWO12_U</v>
          </cell>
          <cell r="C10">
            <v>0.62</v>
          </cell>
          <cell r="D10">
            <v>3.0699999999999999E-9</v>
          </cell>
          <cell r="E10">
            <v>7.6199999999999995E-5</v>
          </cell>
          <cell r="F10">
            <v>1.0300000000000001E-3</v>
          </cell>
          <cell r="G10">
            <v>9.9199999999999999E-5</v>
          </cell>
          <cell r="H10">
            <v>8.7799999999999994</v>
          </cell>
          <cell r="I10">
            <v>10.26</v>
          </cell>
        </row>
        <row r="11">
          <cell r="B11" t="str">
            <v>NKW13</v>
          </cell>
          <cell r="C11">
            <v>0.71</v>
          </cell>
          <cell r="D11">
            <v>1.1999999999999999E-7</v>
          </cell>
          <cell r="E11">
            <v>8.0000000000000004E-4</v>
          </cell>
          <cell r="F11">
            <v>1.2099999999999999E-3</v>
          </cell>
          <cell r="G11">
            <v>9.2999999999999997E-5</v>
          </cell>
          <cell r="H11">
            <v>8.7799999999999994</v>
          </cell>
          <cell r="I11">
            <v>10.26</v>
          </cell>
        </row>
        <row r="12">
          <cell r="B12" t="str">
            <v>NGH15</v>
          </cell>
          <cell r="C12">
            <v>0.62</v>
          </cell>
          <cell r="D12">
            <v>3.0699999999999999E-9</v>
          </cell>
          <cell r="E12">
            <v>7.6000000000000004E-5</v>
          </cell>
          <cell r="F12">
            <v>1.0300000000000001E-3</v>
          </cell>
          <cell r="G12">
            <v>9.8999999999999994E-5</v>
          </cell>
          <cell r="H12">
            <v>8.8000000000000007</v>
          </cell>
          <cell r="I12">
            <v>10.3</v>
          </cell>
        </row>
        <row r="13">
          <cell r="B13" t="str">
            <v>NSC15</v>
          </cell>
          <cell r="C13">
            <v>0.62</v>
          </cell>
          <cell r="D13">
            <v>3.0699999999999999E-9</v>
          </cell>
          <cell r="E13">
            <v>7.6000000000000004E-5</v>
          </cell>
          <cell r="F13">
            <v>1.0300000000000001E-3</v>
          </cell>
          <cell r="G13">
            <v>9.8999999999999994E-5</v>
          </cell>
          <cell r="H13">
            <v>8.8000000000000007</v>
          </cell>
          <cell r="I13">
            <v>10.3</v>
          </cell>
        </row>
        <row r="14">
          <cell r="B14" t="str">
            <v>NVM15</v>
          </cell>
          <cell r="C14">
            <v>0.62</v>
          </cell>
          <cell r="D14">
            <v>3.0699999999999999E-9</v>
          </cell>
          <cell r="E14">
            <v>7.6000000000000004E-5</v>
          </cell>
          <cell r="F14">
            <v>1.0300000000000001E-3</v>
          </cell>
          <cell r="G14">
            <v>9.8999999999999994E-5</v>
          </cell>
          <cell r="H14">
            <v>8.8000000000000007</v>
          </cell>
          <cell r="I14">
            <v>10.3</v>
          </cell>
        </row>
        <row r="15">
          <cell r="B15" t="str">
            <v>NHA13_Typ4</v>
          </cell>
          <cell r="C15">
            <v>0.62</v>
          </cell>
          <cell r="D15">
            <v>3.0699999999999999E-9</v>
          </cell>
          <cell r="E15">
            <v>7.6199999999999995E-5</v>
          </cell>
          <cell r="F15">
            <v>1.0300000000000001E-3</v>
          </cell>
          <cell r="G15">
            <v>9.9199999999999999E-5</v>
          </cell>
          <cell r="H15">
            <v>8.7799999999999994</v>
          </cell>
          <cell r="I15">
            <v>10.26</v>
          </cell>
        </row>
        <row r="16">
          <cell r="B16" t="str">
            <v>NHA12_Typ2_U</v>
          </cell>
          <cell r="C16">
            <v>0.62</v>
          </cell>
          <cell r="D16">
            <v>3.0699999999999999E-9</v>
          </cell>
          <cell r="E16">
            <v>7.6199999999999995E-5</v>
          </cell>
          <cell r="F16">
            <v>1.0300000000000001E-3</v>
          </cell>
          <cell r="G16">
            <v>9.9199999999999999E-5</v>
          </cell>
          <cell r="H16">
            <v>8.7799999999999994</v>
          </cell>
          <cell r="I16">
            <v>10.26</v>
          </cell>
        </row>
        <row r="17">
          <cell r="B17" t="str">
            <v>NHA12_Typ1_U</v>
          </cell>
          <cell r="C17">
            <v>0.62</v>
          </cell>
          <cell r="D17">
            <v>3.0699999999999999E-9</v>
          </cell>
          <cell r="E17">
            <v>7.6199999999999995E-5</v>
          </cell>
          <cell r="F17">
            <v>1.0300000000000001E-3</v>
          </cell>
          <cell r="G17">
            <v>9.9199999999999999E-5</v>
          </cell>
          <cell r="H17">
            <v>8.7799999999999994</v>
          </cell>
          <cell r="I17">
            <v>10.26</v>
          </cell>
        </row>
        <row r="18">
          <cell r="B18" t="str">
            <v>NLO15</v>
          </cell>
          <cell r="C18">
            <v>0.62</v>
          </cell>
          <cell r="D18">
            <v>3.0699999999999999E-9</v>
          </cell>
          <cell r="E18">
            <v>7.6000000000000004E-5</v>
          </cell>
          <cell r="F18">
            <v>1.0300000000000001E-3</v>
          </cell>
          <cell r="G18">
            <v>9.8999999999999994E-5</v>
          </cell>
          <cell r="H18">
            <v>8.8000000000000007</v>
          </cell>
          <cell r="I18">
            <v>10.3</v>
          </cell>
        </row>
        <row r="19">
          <cell r="B19" t="str">
            <v>NPS15</v>
          </cell>
          <cell r="C19">
            <v>0.62</v>
          </cell>
          <cell r="D19">
            <v>3.0699999999999999E-9</v>
          </cell>
          <cell r="E19">
            <v>7.6000000000000004E-5</v>
          </cell>
          <cell r="F19">
            <v>1.0300000000000001E-3</v>
          </cell>
          <cell r="G19">
            <v>9.8999999999999994E-5</v>
          </cell>
          <cell r="H19">
            <v>8.8000000000000007</v>
          </cell>
          <cell r="I19">
            <v>10.3</v>
          </cell>
        </row>
        <row r="20">
          <cell r="B20" t="str">
            <v>NIN12_Typ1_U</v>
          </cell>
          <cell r="C20">
            <v>0.62</v>
          </cell>
          <cell r="D20">
            <v>3.0699999999999999E-9</v>
          </cell>
          <cell r="E20">
            <v>7.6199999999999995E-5</v>
          </cell>
          <cell r="F20">
            <v>1.0300000000000001E-3</v>
          </cell>
          <cell r="G20">
            <v>9.9199999999999999E-5</v>
          </cell>
          <cell r="H20">
            <v>8.7799999999999994</v>
          </cell>
          <cell r="I20">
            <v>10.26</v>
          </cell>
        </row>
        <row r="21">
          <cell r="B21" t="str">
            <v>NIN12_Typ2_U</v>
          </cell>
          <cell r="C21">
            <v>0.62</v>
          </cell>
          <cell r="D21">
            <v>3.0699999999999999E-9</v>
          </cell>
          <cell r="E21">
            <v>7.6199999999999995E-5</v>
          </cell>
          <cell r="F21">
            <v>1.0300000000000001E-3</v>
          </cell>
          <cell r="G21">
            <v>9.9199999999999999E-5</v>
          </cell>
          <cell r="H21">
            <v>8.7799999999999994</v>
          </cell>
          <cell r="I21">
            <v>10.26</v>
          </cell>
        </row>
        <row r="22">
          <cell r="B22" t="str">
            <v>NHO12_U</v>
          </cell>
          <cell r="C22">
            <v>0.62</v>
          </cell>
          <cell r="D22">
            <v>3.0699999999999999E-9</v>
          </cell>
          <cell r="E22">
            <v>7.6199999999999995E-5</v>
          </cell>
          <cell r="F22">
            <v>1.0300000000000001E-3</v>
          </cell>
          <cell r="G22">
            <v>9.9199999999999999E-5</v>
          </cell>
          <cell r="H22">
            <v>8.7799999999999994</v>
          </cell>
          <cell r="I22">
            <v>10.26</v>
          </cell>
        </row>
        <row r="23">
          <cell r="B23" t="str">
            <v>NHO15</v>
          </cell>
          <cell r="C23">
            <v>0.62</v>
          </cell>
          <cell r="D23">
            <v>3.0699999999999999E-9</v>
          </cell>
          <cell r="E23">
            <v>7.6000000000000004E-5</v>
          </cell>
          <cell r="F23">
            <v>1.0300000000000001E-3</v>
          </cell>
          <cell r="G23">
            <v>9.8999999999999994E-5</v>
          </cell>
          <cell r="H23">
            <v>8.8000000000000007</v>
          </cell>
          <cell r="I23">
            <v>10.3</v>
          </cell>
        </row>
        <row r="24">
          <cell r="B24" t="str">
            <v>NGB13</v>
          </cell>
          <cell r="C24">
            <v>0.62</v>
          </cell>
          <cell r="D24">
            <v>3.0699999999999999E-9</v>
          </cell>
          <cell r="E24">
            <v>7.6199999999999995E-5</v>
          </cell>
          <cell r="F24">
            <v>1.0300000000000001E-3</v>
          </cell>
          <cell r="G24">
            <v>9.9199999999999999E-5</v>
          </cell>
          <cell r="H24">
            <v>8.7799999999999994</v>
          </cell>
          <cell r="I24">
            <v>10.26</v>
          </cell>
        </row>
        <row r="29">
          <cell r="B29" t="str">
            <v>CORE14</v>
          </cell>
          <cell r="C29">
            <v>0.28999999999999998</v>
          </cell>
          <cell r="D29">
            <v>3.7999999999999998E-11</v>
          </cell>
          <cell r="E29">
            <v>3.9499999999999998E-5</v>
          </cell>
          <cell r="F29">
            <v>3.9199999999999999E-4</v>
          </cell>
          <cell r="G29">
            <v>2.4300000000000001E-5</v>
          </cell>
          <cell r="H29">
            <v>4.3600000000000003</v>
          </cell>
          <cell r="I29">
            <v>4.3899999999999997</v>
          </cell>
        </row>
        <row r="30">
          <cell r="B30" t="str">
            <v>NBV15</v>
          </cell>
          <cell r="C30">
            <v>0.25</v>
          </cell>
          <cell r="D30">
            <v>1.7999999999999999E-11</v>
          </cell>
          <cell r="E30">
            <v>3.1000000000000001E-5</v>
          </cell>
          <cell r="F30">
            <v>2.7E-4</v>
          </cell>
          <cell r="G30">
            <v>1.9000000000000001E-5</v>
          </cell>
          <cell r="H30">
            <v>3.8</v>
          </cell>
          <cell r="I30">
            <v>3.9</v>
          </cell>
        </row>
        <row r="31">
          <cell r="B31" t="str">
            <v>NBV12_U</v>
          </cell>
          <cell r="C31">
            <v>0.28999999999999998</v>
          </cell>
          <cell r="D31">
            <v>3.7999999999999998E-11</v>
          </cell>
          <cell r="E31">
            <v>3.9499999999999998E-5</v>
          </cell>
          <cell r="F31">
            <v>3.9199999999999999E-4</v>
          </cell>
          <cell r="G31">
            <v>2.4300000000000001E-5</v>
          </cell>
          <cell r="H31">
            <v>4.3600000000000003</v>
          </cell>
          <cell r="I31">
            <v>4.3899999999999997</v>
          </cell>
        </row>
        <row r="32">
          <cell r="B32" t="str">
            <v>NBI15</v>
          </cell>
          <cell r="C32">
            <v>0.25</v>
          </cell>
          <cell r="D32">
            <v>1.7999999999999999E-11</v>
          </cell>
          <cell r="E32">
            <v>3.1000000000000001E-5</v>
          </cell>
          <cell r="F32">
            <v>2.7E-4</v>
          </cell>
          <cell r="G32">
            <v>1.9000000000000001E-5</v>
          </cell>
          <cell r="H32">
            <v>3.8</v>
          </cell>
          <cell r="I32">
            <v>3.9</v>
          </cell>
        </row>
        <row r="33">
          <cell r="B33" t="str">
            <v>NBI12_U</v>
          </cell>
          <cell r="C33">
            <v>0.28999999999999998</v>
          </cell>
          <cell r="D33">
            <v>3.7999999999999998E-11</v>
          </cell>
          <cell r="E33">
            <v>3.9499999999999998E-5</v>
          </cell>
          <cell r="F33">
            <v>3.9199999999999999E-4</v>
          </cell>
          <cell r="G33">
            <v>2.4300000000000001E-5</v>
          </cell>
          <cell r="H33">
            <v>4.3600000000000003</v>
          </cell>
          <cell r="I33">
            <v>4.3899999999999997</v>
          </cell>
        </row>
        <row r="34">
          <cell r="B34" t="str">
            <v>NBI12_Kita</v>
          </cell>
          <cell r="C34">
            <v>0.28999999999999998</v>
          </cell>
          <cell r="D34">
            <v>3.7999999999999998E-11</v>
          </cell>
          <cell r="E34">
            <v>3.9499999999999998E-5</v>
          </cell>
          <cell r="F34">
            <v>3.9199999999999999E-4</v>
          </cell>
          <cell r="G34">
            <v>2.4300000000000001E-5</v>
          </cell>
          <cell r="H34">
            <v>4.3600000000000003</v>
          </cell>
          <cell r="I34">
            <v>4.3899999999999997</v>
          </cell>
        </row>
        <row r="35">
          <cell r="B35" t="str">
            <v>NWO15</v>
          </cell>
          <cell r="C35">
            <v>0.25</v>
          </cell>
          <cell r="D35">
            <v>1.7999999999999999E-11</v>
          </cell>
          <cell r="E35">
            <v>3.1000000000000001E-5</v>
          </cell>
          <cell r="F35">
            <v>2.7E-4</v>
          </cell>
          <cell r="G35">
            <v>1.9000000000000001E-5</v>
          </cell>
          <cell r="H35">
            <v>3.8</v>
          </cell>
          <cell r="I35">
            <v>3.9</v>
          </cell>
        </row>
        <row r="36">
          <cell r="B36" t="str">
            <v>NWO12_U</v>
          </cell>
          <cell r="C36">
            <v>0.28999999999999998</v>
          </cell>
          <cell r="D36">
            <v>3.7999999999999998E-11</v>
          </cell>
          <cell r="E36">
            <v>3.9499999999999998E-5</v>
          </cell>
          <cell r="F36">
            <v>3.9199999999999999E-4</v>
          </cell>
          <cell r="G36">
            <v>2.4300000000000001E-5</v>
          </cell>
          <cell r="H36">
            <v>4.3600000000000003</v>
          </cell>
          <cell r="I36">
            <v>4.3899999999999997</v>
          </cell>
        </row>
        <row r="37">
          <cell r="B37" t="str">
            <v>NKW13</v>
          </cell>
          <cell r="C37">
            <v>0.31</v>
          </cell>
          <cell r="D37">
            <v>3.1E-9</v>
          </cell>
          <cell r="E37">
            <v>4.4000000000000002E-4</v>
          </cell>
          <cell r="F37">
            <v>4.4000000000000002E-4</v>
          </cell>
          <cell r="G37">
            <v>3.3000000000000003E-5</v>
          </cell>
          <cell r="H37">
            <v>4.3600000000000003</v>
          </cell>
          <cell r="I37">
            <v>4.3899999999999997</v>
          </cell>
        </row>
        <row r="38">
          <cell r="B38" t="str">
            <v>NGH15</v>
          </cell>
          <cell r="C38">
            <v>0.25</v>
          </cell>
          <cell r="D38">
            <v>1.7999999999999999E-11</v>
          </cell>
          <cell r="E38">
            <v>3.1000000000000001E-5</v>
          </cell>
          <cell r="F38">
            <v>2.7E-4</v>
          </cell>
          <cell r="G38">
            <v>1.9000000000000001E-5</v>
          </cell>
          <cell r="H38">
            <v>3.8</v>
          </cell>
          <cell r="I38">
            <v>3.9</v>
          </cell>
        </row>
        <row r="39">
          <cell r="B39" t="str">
            <v>NSC15</v>
          </cell>
          <cell r="C39">
            <v>0.25</v>
          </cell>
          <cell r="D39">
            <v>1.7999999999999999E-11</v>
          </cell>
          <cell r="E39">
            <v>3.1000000000000001E-5</v>
          </cell>
          <cell r="F39">
            <v>2.7E-4</v>
          </cell>
          <cell r="G39">
            <v>1.9000000000000001E-5</v>
          </cell>
          <cell r="H39">
            <v>3.8</v>
          </cell>
          <cell r="I39">
            <v>3.9</v>
          </cell>
        </row>
        <row r="40">
          <cell r="B40" t="str">
            <v>NVM15</v>
          </cell>
          <cell r="C40">
            <v>0.25</v>
          </cell>
          <cell r="D40">
            <v>1.7999999999999999E-11</v>
          </cell>
          <cell r="E40">
            <v>3.1000000000000001E-5</v>
          </cell>
          <cell r="F40">
            <v>2.7E-4</v>
          </cell>
          <cell r="G40">
            <v>1.9000000000000001E-5</v>
          </cell>
          <cell r="H40">
            <v>3.8</v>
          </cell>
          <cell r="I40">
            <v>3.9</v>
          </cell>
        </row>
        <row r="41">
          <cell r="B41" t="str">
            <v>NHA13_Typ4</v>
          </cell>
          <cell r="C41">
            <v>0.28999999999999998</v>
          </cell>
          <cell r="D41">
            <v>3.7999999999999998E-11</v>
          </cell>
          <cell r="E41">
            <v>3.9499999999999998E-5</v>
          </cell>
          <cell r="F41">
            <v>3.9199999999999999E-4</v>
          </cell>
          <cell r="G41">
            <v>2.4300000000000001E-5</v>
          </cell>
          <cell r="H41">
            <v>4.3600000000000003</v>
          </cell>
          <cell r="I41">
            <v>4.3899999999999997</v>
          </cell>
        </row>
        <row r="42">
          <cell r="B42" t="str">
            <v>NHA12_Typ2_U</v>
          </cell>
          <cell r="C42">
            <v>0.28999999999999998</v>
          </cell>
          <cell r="D42">
            <v>3.7999999999999998E-11</v>
          </cell>
          <cell r="E42">
            <v>3.9499999999999998E-5</v>
          </cell>
          <cell r="F42">
            <v>3.9199999999999999E-4</v>
          </cell>
          <cell r="G42">
            <v>2.4300000000000001E-5</v>
          </cell>
          <cell r="H42">
            <v>4.3600000000000003</v>
          </cell>
          <cell r="I42">
            <v>4.3899999999999997</v>
          </cell>
        </row>
        <row r="43">
          <cell r="B43" t="str">
            <v>NHA12_Typ1_U</v>
          </cell>
          <cell r="C43">
            <v>0.28999999999999998</v>
          </cell>
          <cell r="D43">
            <v>3.7999999999999998E-11</v>
          </cell>
          <cell r="E43">
            <v>3.9499999999999998E-5</v>
          </cell>
          <cell r="F43">
            <v>3.9199999999999999E-4</v>
          </cell>
          <cell r="G43">
            <v>2.4300000000000001E-5</v>
          </cell>
          <cell r="H43">
            <v>4.3600000000000003</v>
          </cell>
          <cell r="I43">
            <v>4.3899999999999997</v>
          </cell>
        </row>
        <row r="44">
          <cell r="B44" t="str">
            <v>NLO15</v>
          </cell>
          <cell r="C44">
            <v>0.25</v>
          </cell>
          <cell r="D44">
            <v>1.7999999999999999E-11</v>
          </cell>
          <cell r="E44">
            <v>3.1000000000000001E-5</v>
          </cell>
          <cell r="F44">
            <v>2.7E-4</v>
          </cell>
          <cell r="G44">
            <v>1.9000000000000001E-5</v>
          </cell>
          <cell r="H44">
            <v>3.8</v>
          </cell>
          <cell r="I44">
            <v>3.9</v>
          </cell>
        </row>
        <row r="45">
          <cell r="B45" t="str">
            <v>NPS15</v>
          </cell>
          <cell r="C45">
            <v>0.25</v>
          </cell>
          <cell r="D45">
            <v>1.7999999999999999E-11</v>
          </cell>
          <cell r="E45">
            <v>3.1000000000000001E-5</v>
          </cell>
          <cell r="F45">
            <v>2.7E-4</v>
          </cell>
          <cell r="G45">
            <v>1.9000000000000001E-5</v>
          </cell>
          <cell r="H45">
            <v>3.8</v>
          </cell>
          <cell r="I45">
            <v>3.9</v>
          </cell>
        </row>
        <row r="46">
          <cell r="B46" t="str">
            <v>NIN12_Typ1_U</v>
          </cell>
          <cell r="C46">
            <v>0.28999999999999998</v>
          </cell>
          <cell r="D46">
            <v>3.7999999999999998E-11</v>
          </cell>
          <cell r="E46">
            <v>3.9499999999999998E-5</v>
          </cell>
          <cell r="F46">
            <v>3.9199999999999999E-4</v>
          </cell>
          <cell r="G46">
            <v>2.4300000000000001E-5</v>
          </cell>
          <cell r="H46">
            <v>4.3600000000000003</v>
          </cell>
          <cell r="I46">
            <v>4.3899999999999997</v>
          </cell>
        </row>
        <row r="47">
          <cell r="B47" t="str">
            <v>NIN12_Typ2_U</v>
          </cell>
          <cell r="C47">
            <v>0.28999999999999998</v>
          </cell>
          <cell r="D47">
            <v>3.7999999999999998E-11</v>
          </cell>
          <cell r="E47">
            <v>3.9499999999999998E-5</v>
          </cell>
          <cell r="F47">
            <v>3.9199999999999999E-4</v>
          </cell>
          <cell r="G47">
            <v>2.4300000000000001E-5</v>
          </cell>
          <cell r="H47">
            <v>4.3600000000000003</v>
          </cell>
          <cell r="I47">
            <v>4.3899999999999997</v>
          </cell>
        </row>
        <row r="48">
          <cell r="B48" t="str">
            <v>NHO12_U</v>
          </cell>
          <cell r="C48">
            <v>0.28999999999999998</v>
          </cell>
          <cell r="D48">
            <v>3.7999999999999998E-11</v>
          </cell>
          <cell r="E48">
            <v>3.9499999999999998E-5</v>
          </cell>
          <cell r="F48">
            <v>3.9199999999999999E-4</v>
          </cell>
          <cell r="G48">
            <v>2.4300000000000001E-5</v>
          </cell>
          <cell r="H48">
            <v>4.3600000000000003</v>
          </cell>
          <cell r="I48">
            <v>4.3899999999999997</v>
          </cell>
        </row>
        <row r="49">
          <cell r="B49" t="str">
            <v>NHO15</v>
          </cell>
          <cell r="C49">
            <v>0.25</v>
          </cell>
          <cell r="D49">
            <v>1.7999999999999999E-11</v>
          </cell>
          <cell r="E49">
            <v>3.1000000000000001E-5</v>
          </cell>
          <cell r="F49">
            <v>2.7E-4</v>
          </cell>
          <cell r="G49">
            <v>1.9000000000000001E-5</v>
          </cell>
          <cell r="H49">
            <v>3.8</v>
          </cell>
          <cell r="I49">
            <v>3.9</v>
          </cell>
        </row>
        <row r="50">
          <cell r="B50" t="str">
            <v>NGB13</v>
          </cell>
          <cell r="C50">
            <v>0.28999999999999998</v>
          </cell>
          <cell r="D50">
            <v>3.7999999999999998E-11</v>
          </cell>
          <cell r="E50">
            <v>3.9499999999999998E-5</v>
          </cell>
          <cell r="F50">
            <v>3.9199999999999999E-4</v>
          </cell>
          <cell r="G50">
            <v>2.4300000000000001E-5</v>
          </cell>
          <cell r="H50">
            <v>4.3600000000000003</v>
          </cell>
          <cell r="I50">
            <v>4.3899999999999997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40"/>
  <sheetViews>
    <sheetView tabSelected="1" workbookViewId="0"/>
  </sheetViews>
  <sheetFormatPr baseColWidth="10" defaultRowHeight="12.75" x14ac:dyDescent="0.2"/>
  <cols>
    <col min="1" max="1" width="24.42578125" style="4" customWidth="1"/>
    <col min="2" max="16384" width="11.42578125" style="4"/>
  </cols>
  <sheetData>
    <row r="1" spans="1:16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x14ac:dyDescent="0.2">
      <c r="A3" s="3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x14ac:dyDescent="0.2">
      <c r="A6" s="121" t="s">
        <v>2</v>
      </c>
      <c r="B6" s="12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x14ac:dyDescent="0.2">
      <c r="A7" s="123" t="s">
        <v>1</v>
      </c>
      <c r="B7" s="12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125" t="s">
        <v>0</v>
      </c>
      <c r="B8" s="126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x14ac:dyDescent="0.2">
      <c r="A10" s="3" t="s">
        <v>174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x14ac:dyDescent="0.2">
      <c r="A11" s="3" t="s">
        <v>175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x14ac:dyDescent="0.2">
      <c r="A12" s="3" t="s">
        <v>176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x14ac:dyDescent="0.2">
      <c r="A13" s="12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24.75" customHeight="1" x14ac:dyDescent="0.2">
      <c r="A23" s="231"/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</row>
    <row r="24" spans="1:16" ht="27" customHeight="1" x14ac:dyDescent="0.2">
      <c r="A24" s="232"/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</row>
    <row r="25" spans="1:16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24.75" customHeight="1" x14ac:dyDescent="0.2">
      <c r="A26" s="232"/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</row>
    <row r="27" spans="1:16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x14ac:dyDescent="0.2">
      <c r="A33" s="3"/>
      <c r="B33" s="3"/>
      <c r="C33" s="3"/>
      <c r="D33" s="128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x14ac:dyDescent="0.2">
      <c r="A40" s="3"/>
      <c r="B40" s="3"/>
      <c r="C40" s="3"/>
      <c r="D40" s="3"/>
      <c r="E40" s="3"/>
      <c r="F40" s="3"/>
      <c r="G40" s="3"/>
      <c r="H40" s="3"/>
      <c r="I40" s="3"/>
    </row>
  </sheetData>
  <sheetProtection password="A3A3" sheet="1" objects="1" scenarios="1"/>
  <mergeCells count="3">
    <mergeCell ref="A23:P23"/>
    <mergeCell ref="A24:P24"/>
    <mergeCell ref="A26:P2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="90" zoomScaleNormal="90" workbookViewId="0">
      <selection activeCell="E16" sqref="E16:E23"/>
    </sheetView>
  </sheetViews>
  <sheetFormatPr baseColWidth="10" defaultRowHeight="12.75" x14ac:dyDescent="0.2"/>
  <cols>
    <col min="1" max="1" width="1.7109375" style="4" customWidth="1"/>
    <col min="2" max="2" width="22.85546875" style="4" customWidth="1"/>
    <col min="3" max="6" width="11.42578125" style="4"/>
    <col min="7" max="7" width="14.42578125" style="4" customWidth="1"/>
    <col min="8" max="8" width="17.85546875" style="4" customWidth="1"/>
    <col min="9" max="16384" width="11.42578125" style="4"/>
  </cols>
  <sheetData>
    <row r="1" spans="1:8" ht="6.75" customHeight="1" x14ac:dyDescent="0.2"/>
    <row r="2" spans="1:8" ht="18" x14ac:dyDescent="0.25">
      <c r="B2" s="129" t="s">
        <v>138</v>
      </c>
    </row>
    <row r="3" spans="1:8" ht="18" x14ac:dyDescent="0.25">
      <c r="B3" s="129" t="s">
        <v>154</v>
      </c>
    </row>
    <row r="4" spans="1:8" x14ac:dyDescent="0.2">
      <c r="B4" s="4" t="s">
        <v>123</v>
      </c>
    </row>
    <row r="5" spans="1:8" x14ac:dyDescent="0.2">
      <c r="B5" s="130" t="s">
        <v>124</v>
      </c>
    </row>
    <row r="6" spans="1:8" x14ac:dyDescent="0.2">
      <c r="B6" s="130" t="s">
        <v>125</v>
      </c>
    </row>
    <row r="7" spans="1:8" x14ac:dyDescent="0.2">
      <c r="B7" s="130" t="s">
        <v>128</v>
      </c>
    </row>
    <row r="8" spans="1:8" x14ac:dyDescent="0.2">
      <c r="B8" s="130" t="s">
        <v>129</v>
      </c>
    </row>
    <row r="9" spans="1:8" x14ac:dyDescent="0.2">
      <c r="B9" s="130" t="s">
        <v>130</v>
      </c>
    </row>
    <row r="10" spans="1:8" x14ac:dyDescent="0.2">
      <c r="B10" s="235" t="s">
        <v>131</v>
      </c>
      <c r="C10" s="235"/>
      <c r="D10" s="235"/>
    </row>
    <row r="11" spans="1:8" x14ac:dyDescent="0.2">
      <c r="B11" s="131" t="s">
        <v>170</v>
      </c>
      <c r="C11" s="131"/>
      <c r="D11" s="131"/>
    </row>
    <row r="12" spans="1:8" x14ac:dyDescent="0.2">
      <c r="A12" s="130"/>
      <c r="B12" s="131" t="s">
        <v>171</v>
      </c>
      <c r="C12" s="131"/>
      <c r="D12" s="131"/>
    </row>
    <row r="13" spans="1:8" ht="29.25" customHeight="1" x14ac:dyDescent="0.2">
      <c r="B13" s="233" t="s">
        <v>132</v>
      </c>
      <c r="C13" s="233"/>
      <c r="D13" s="233"/>
      <c r="E13" s="211"/>
      <c r="F13" s="4" t="s">
        <v>133</v>
      </c>
      <c r="G13" s="4" t="s">
        <v>166</v>
      </c>
    </row>
    <row r="15" spans="1:8" ht="18" x14ac:dyDescent="0.25">
      <c r="B15" s="129" t="s">
        <v>157</v>
      </c>
      <c r="G15" s="132"/>
      <c r="H15" s="132"/>
    </row>
    <row r="16" spans="1:8" x14ac:dyDescent="0.2">
      <c r="B16" s="4" t="s">
        <v>142</v>
      </c>
      <c r="E16" s="211"/>
      <c r="F16" s="4" t="s">
        <v>135</v>
      </c>
      <c r="G16" s="234" t="s">
        <v>173</v>
      </c>
    </row>
    <row r="17" spans="2:7" x14ac:dyDescent="0.2">
      <c r="B17" s="4" t="s">
        <v>143</v>
      </c>
      <c r="E17" s="211"/>
      <c r="F17" s="4" t="s">
        <v>135</v>
      </c>
      <c r="G17" s="234"/>
    </row>
    <row r="18" spans="2:7" x14ac:dyDescent="0.2">
      <c r="B18" s="4" t="s">
        <v>144</v>
      </c>
      <c r="E18" s="211"/>
      <c r="F18" s="4" t="s">
        <v>135</v>
      </c>
      <c r="G18" s="234"/>
    </row>
    <row r="19" spans="2:7" x14ac:dyDescent="0.2">
      <c r="B19" s="4" t="s">
        <v>145</v>
      </c>
      <c r="E19" s="211"/>
      <c r="F19" s="4" t="s">
        <v>135</v>
      </c>
      <c r="G19" s="234"/>
    </row>
    <row r="20" spans="2:7" ht="24" customHeight="1" x14ac:dyDescent="0.2">
      <c r="B20" s="233" t="s">
        <v>146</v>
      </c>
      <c r="C20" s="233"/>
      <c r="D20" s="233"/>
      <c r="E20" s="211"/>
      <c r="F20" s="4" t="s">
        <v>135</v>
      </c>
      <c r="G20" s="234"/>
    </row>
    <row r="21" spans="2:7" ht="40.5" customHeight="1" x14ac:dyDescent="0.2">
      <c r="B21" s="233" t="s">
        <v>147</v>
      </c>
      <c r="C21" s="233"/>
      <c r="D21" s="233"/>
      <c r="E21" s="211"/>
      <c r="F21" s="4" t="s">
        <v>135</v>
      </c>
      <c r="G21" s="234"/>
    </row>
    <row r="22" spans="2:7" x14ac:dyDescent="0.2">
      <c r="B22" s="132" t="s">
        <v>168</v>
      </c>
      <c r="C22" s="132"/>
      <c r="D22" s="132"/>
      <c r="E22" s="212"/>
      <c r="F22" s="4" t="s">
        <v>135</v>
      </c>
      <c r="G22" s="234"/>
    </row>
    <row r="23" spans="2:7" ht="25.5" x14ac:dyDescent="0.2">
      <c r="B23" s="132" t="s">
        <v>169</v>
      </c>
      <c r="C23" s="132"/>
      <c r="D23" s="132"/>
      <c r="E23" s="212"/>
      <c r="F23" s="4" t="s">
        <v>135</v>
      </c>
      <c r="G23" s="234"/>
    </row>
    <row r="24" spans="2:7" x14ac:dyDescent="0.2">
      <c r="B24" s="4" t="s">
        <v>152</v>
      </c>
      <c r="E24" s="133">
        <f>SUM(E16:E23)</f>
        <v>0</v>
      </c>
      <c r="F24" s="4" t="s">
        <v>135</v>
      </c>
    </row>
    <row r="26" spans="2:7" ht="18" x14ac:dyDescent="0.25">
      <c r="B26" s="129" t="s">
        <v>139</v>
      </c>
    </row>
    <row r="27" spans="2:7" ht="18" x14ac:dyDescent="0.25">
      <c r="B27" s="129" t="s">
        <v>155</v>
      </c>
    </row>
    <row r="28" spans="2:7" ht="15" customHeight="1" x14ac:dyDescent="0.25">
      <c r="B28" s="134" t="s">
        <v>140</v>
      </c>
    </row>
    <row r="29" spans="2:7" x14ac:dyDescent="0.2">
      <c r="C29" s="135">
        <f>E13</f>
        <v>0</v>
      </c>
      <c r="D29" s="4" t="s">
        <v>133</v>
      </c>
    </row>
    <row r="31" spans="2:7" ht="15" x14ac:dyDescent="0.25">
      <c r="B31" s="134" t="s">
        <v>156</v>
      </c>
    </row>
    <row r="32" spans="2:7" ht="63.75" x14ac:dyDescent="0.2">
      <c r="B32" s="136" t="s">
        <v>165</v>
      </c>
      <c r="C32" s="135">
        <f>Öko_Möbel_QM!X83</f>
        <v>100</v>
      </c>
      <c r="D32" s="4" t="s">
        <v>133</v>
      </c>
    </row>
    <row r="34" spans="2:7" ht="15" x14ac:dyDescent="0.25">
      <c r="B34" s="137" t="s">
        <v>141</v>
      </c>
    </row>
    <row r="35" spans="2:7" ht="38.25" x14ac:dyDescent="0.25">
      <c r="B35" s="137"/>
      <c r="F35" s="132" t="s">
        <v>162</v>
      </c>
      <c r="G35" s="132" t="s">
        <v>163</v>
      </c>
    </row>
    <row r="36" spans="2:7" x14ac:dyDescent="0.2">
      <c r="B36" s="4" t="str">
        <f>B16</f>
        <v>Gesamtmasse Tische:</v>
      </c>
      <c r="D36" s="133">
        <f>E16</f>
        <v>0</v>
      </c>
      <c r="E36" s="4" t="s">
        <v>135</v>
      </c>
      <c r="F36" s="138">
        <f>Öko_Möbel_QM!F84</f>
        <v>1</v>
      </c>
      <c r="G36" s="138">
        <f>Öko_Möbel_QM!W84</f>
        <v>1</v>
      </c>
    </row>
    <row r="37" spans="2:7" x14ac:dyDescent="0.2">
      <c r="B37" s="4" t="str">
        <f t="shared" ref="B37:B40" si="0">B17</f>
        <v>Gesamtmasse Rollcontainer:</v>
      </c>
      <c r="D37" s="133">
        <f t="shared" ref="D37:D43" si="1">E17</f>
        <v>0</v>
      </c>
      <c r="E37" s="4" t="s">
        <v>135</v>
      </c>
      <c r="F37" s="138">
        <f>Öko_Möbel_QM!F85</f>
        <v>1</v>
      </c>
      <c r="G37" s="138">
        <f>Öko_Möbel_QM!W85</f>
        <v>1</v>
      </c>
    </row>
    <row r="38" spans="2:7" x14ac:dyDescent="0.2">
      <c r="B38" s="4" t="str">
        <f t="shared" si="0"/>
        <v>Gesamtmasse Stühle:</v>
      </c>
      <c r="D38" s="133">
        <f t="shared" si="1"/>
        <v>0</v>
      </c>
      <c r="E38" s="4" t="s">
        <v>135</v>
      </c>
      <c r="F38" s="138">
        <f>Öko_Möbel_QM!F86</f>
        <v>1</v>
      </c>
      <c r="G38" s="138">
        <f>Öko_Möbel_QM!W86</f>
        <v>1</v>
      </c>
    </row>
    <row r="39" spans="2:7" x14ac:dyDescent="0.2">
      <c r="B39" s="4" t="str">
        <f t="shared" si="0"/>
        <v>Gesamtmasse Sessel / Sofas:</v>
      </c>
      <c r="D39" s="133">
        <f t="shared" si="1"/>
        <v>0</v>
      </c>
      <c r="E39" s="4" t="s">
        <v>135</v>
      </c>
      <c r="F39" s="138">
        <f>Öko_Möbel_QM!F87</f>
        <v>1</v>
      </c>
      <c r="G39" s="138">
        <f>Öko_Möbel_QM!W87</f>
        <v>1</v>
      </c>
    </row>
    <row r="40" spans="2:7" ht="24" customHeight="1" x14ac:dyDescent="0.2">
      <c r="B40" s="233" t="str">
        <f t="shared" si="0"/>
        <v>Gesamtmasse Stauraummöbel (z.B. Regal-, Schubladen-, Vitrinen):</v>
      </c>
      <c r="C40" s="233"/>
      <c r="D40" s="133">
        <f t="shared" si="1"/>
        <v>0</v>
      </c>
      <c r="E40" s="4" t="s">
        <v>135</v>
      </c>
      <c r="F40" s="138">
        <f>Öko_Möbel_QM!F88</f>
        <v>1</v>
      </c>
      <c r="G40" s="138">
        <f>Öko_Möbel_QM!W88</f>
        <v>1</v>
      </c>
    </row>
    <row r="41" spans="2:7" ht="51" customHeight="1" x14ac:dyDescent="0.2">
      <c r="B41" s="233" t="str">
        <f>B21</f>
        <v>Gesamtmasse Kücheneinrichtungen (Oberschrank und Unterschrank), Empfangstheken, Coffee Point Thekenelemente o.ä.:</v>
      </c>
      <c r="C41" s="233"/>
      <c r="D41" s="133">
        <f t="shared" si="1"/>
        <v>0</v>
      </c>
      <c r="E41" s="4" t="s">
        <v>135</v>
      </c>
      <c r="F41" s="138">
        <f>Öko_Möbel_QM!F89</f>
        <v>1</v>
      </c>
      <c r="G41" s="138">
        <f>Öko_Möbel_QM!W89</f>
        <v>1</v>
      </c>
    </row>
    <row r="42" spans="2:7" x14ac:dyDescent="0.2">
      <c r="B42" s="233" t="str">
        <f t="shared" ref="B42:B43" si="2">B22</f>
        <v>Gesamtmasse Betten</v>
      </c>
      <c r="C42" s="233"/>
      <c r="D42" s="133">
        <f t="shared" si="1"/>
        <v>0</v>
      </c>
      <c r="E42" s="4" t="s">
        <v>135</v>
      </c>
      <c r="F42" s="138">
        <f>Öko_Möbel_QM!F90</f>
        <v>1</v>
      </c>
      <c r="G42" s="138">
        <f>Öko_Möbel_QM!W90</f>
        <v>1</v>
      </c>
    </row>
    <row r="43" spans="2:7" x14ac:dyDescent="0.2">
      <c r="B43" s="233" t="str">
        <f t="shared" si="2"/>
        <v>Gesamtmasse sonstige Möbel</v>
      </c>
      <c r="C43" s="233"/>
      <c r="D43" s="133">
        <f t="shared" si="1"/>
        <v>0</v>
      </c>
      <c r="E43" s="4" t="s">
        <v>135</v>
      </c>
      <c r="F43" s="138">
        <f>Öko_Möbel_QM!F91</f>
        <v>1</v>
      </c>
      <c r="G43" s="138">
        <f>Öko_Möbel_QM!W91</f>
        <v>1</v>
      </c>
    </row>
    <row r="44" spans="2:7" x14ac:dyDescent="0.2">
      <c r="E44" s="4" t="s">
        <v>148</v>
      </c>
      <c r="F44" s="139">
        <f>Öko_Möbel_QM!G92</f>
        <v>100</v>
      </c>
      <c r="G44" s="139">
        <f>Öko_Möbel_QM!X83</f>
        <v>100</v>
      </c>
    </row>
    <row r="45" spans="2:7" x14ac:dyDescent="0.2">
      <c r="F45" s="4" t="str">
        <f>IF(F44+C29&lt;=100,"","Sie sollen nur den Anteil der Möbel über qualitative Merkmale bewerten, bei denen KEINE Ökobilanz gerechnet wurde!")</f>
        <v/>
      </c>
    </row>
    <row r="46" spans="2:7" ht="18" x14ac:dyDescent="0.25">
      <c r="B46" s="129" t="s">
        <v>158</v>
      </c>
    </row>
    <row r="47" spans="2:7" ht="15" x14ac:dyDescent="0.25">
      <c r="B47" s="134" t="s">
        <v>159</v>
      </c>
    </row>
    <row r="48" spans="2:7" x14ac:dyDescent="0.2">
      <c r="C48" s="135">
        <f>TEC1.6_MÖbel_QM!Q77</f>
        <v>0</v>
      </c>
      <c r="D48" s="4" t="s">
        <v>133</v>
      </c>
    </row>
    <row r="50" spans="2:4" ht="15" x14ac:dyDescent="0.25">
      <c r="B50" s="137" t="s">
        <v>160</v>
      </c>
    </row>
    <row r="51" spans="2:4" ht="38.25" x14ac:dyDescent="0.2">
      <c r="B51" s="136" t="s">
        <v>164</v>
      </c>
      <c r="C51" s="136" t="s">
        <v>161</v>
      </c>
      <c r="D51" s="132" t="s">
        <v>163</v>
      </c>
    </row>
    <row r="52" spans="2:4" x14ac:dyDescent="0.2">
      <c r="B52" s="133">
        <f>E24</f>
        <v>0</v>
      </c>
      <c r="C52" s="140">
        <f>TEC1.6_MÖbel_QM!F77</f>
        <v>0</v>
      </c>
      <c r="D52" s="140">
        <f>TEC1.6_MÖbel_QM!P77</f>
        <v>0</v>
      </c>
    </row>
  </sheetData>
  <sheetProtection password="A3A3" sheet="1" objects="1" scenarios="1"/>
  <mergeCells count="9">
    <mergeCell ref="B43:C43"/>
    <mergeCell ref="G16:G23"/>
    <mergeCell ref="B40:C40"/>
    <mergeCell ref="B41:C41"/>
    <mergeCell ref="B10:D10"/>
    <mergeCell ref="B13:D13"/>
    <mergeCell ref="B20:D20"/>
    <mergeCell ref="B21:D21"/>
    <mergeCell ref="B42:C42"/>
  </mergeCells>
  <conditionalFormatting sqref="F36">
    <cfRule type="expression" dxfId="21" priority="14">
      <formula>$F$36&gt;1</formula>
    </cfRule>
  </conditionalFormatting>
  <conditionalFormatting sqref="F37">
    <cfRule type="expression" dxfId="20" priority="8">
      <formula>$F$37&gt;1</formula>
    </cfRule>
  </conditionalFormatting>
  <conditionalFormatting sqref="F38">
    <cfRule type="expression" dxfId="19" priority="7">
      <formula>$F$38&gt;1</formula>
    </cfRule>
  </conditionalFormatting>
  <conditionalFormatting sqref="F39">
    <cfRule type="expression" dxfId="18" priority="6">
      <formula>$F$39&gt;1</formula>
    </cfRule>
  </conditionalFormatting>
  <conditionalFormatting sqref="F40">
    <cfRule type="expression" dxfId="17" priority="5">
      <formula>$F$40&gt;1</formula>
    </cfRule>
  </conditionalFormatting>
  <conditionalFormatting sqref="F41:F43">
    <cfRule type="expression" dxfId="16" priority="4">
      <formula>$F$41&gt;1</formula>
    </cfRule>
  </conditionalFormatting>
  <conditionalFormatting sqref="C52">
    <cfRule type="expression" dxfId="15" priority="3">
      <formula>$C$52&gt;1</formula>
    </cfRule>
  </conditionalFormatting>
  <conditionalFormatting sqref="F44">
    <cfRule type="expression" dxfId="14" priority="2">
      <formula>$F$44+$C$29&gt;100</formula>
    </cfRule>
  </conditionalFormatting>
  <conditionalFormatting sqref="F45">
    <cfRule type="expression" dxfId="13" priority="1">
      <formula>$F$45&lt;&gt;""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="70" zoomScaleNormal="70" workbookViewId="0">
      <selection activeCell="P2" sqref="P2:Q2"/>
    </sheetView>
  </sheetViews>
  <sheetFormatPr baseColWidth="10" defaultRowHeight="12.75" outlineLevelRow="1" x14ac:dyDescent="0.2"/>
  <cols>
    <col min="1" max="1" width="1.5703125" style="4" customWidth="1"/>
    <col min="2" max="2" width="6.42578125" style="4" bestFit="1" customWidth="1"/>
    <col min="3" max="3" width="36.28515625" style="4" customWidth="1"/>
    <col min="4" max="4" width="5.28515625" style="4" customWidth="1"/>
    <col min="5" max="5" width="6.5703125" style="4" customWidth="1"/>
    <col min="6" max="6" width="38.140625" style="4" customWidth="1"/>
    <col min="7" max="7" width="18.85546875" style="4" customWidth="1"/>
    <col min="8" max="8" width="17" style="4" customWidth="1"/>
    <col min="9" max="9" width="15.5703125" style="4" customWidth="1"/>
    <col min="10" max="10" width="15.85546875" style="4" customWidth="1"/>
    <col min="11" max="11" width="16.85546875" style="4" bestFit="1" customWidth="1"/>
    <col min="12" max="12" width="18" style="4" customWidth="1"/>
    <col min="13" max="14" width="18.140625" style="4" customWidth="1"/>
    <col min="15" max="15" width="20.28515625" style="4" customWidth="1"/>
    <col min="16" max="16" width="17.85546875" style="4" customWidth="1"/>
    <col min="17" max="17" width="24.5703125" style="4" customWidth="1"/>
    <col min="18" max="18" width="2" style="4" customWidth="1"/>
    <col min="19" max="257" width="11.42578125" style="4"/>
    <col min="258" max="258" width="1.5703125" style="4" customWidth="1"/>
    <col min="259" max="259" width="6.42578125" style="4" bestFit="1" customWidth="1"/>
    <col min="260" max="260" width="36.28515625" style="4" customWidth="1"/>
    <col min="261" max="261" width="4.28515625" style="4" bestFit="1" customWidth="1"/>
    <col min="262" max="262" width="6.5703125" style="4" customWidth="1"/>
    <col min="263" max="263" width="38.140625" style="4" customWidth="1"/>
    <col min="264" max="264" width="15.85546875" style="4" customWidth="1"/>
    <col min="265" max="265" width="16.140625" style="4" customWidth="1"/>
    <col min="266" max="266" width="15.5703125" style="4" customWidth="1"/>
    <col min="267" max="267" width="15.85546875" style="4" customWidth="1"/>
    <col min="268" max="268" width="16.140625" style="4" customWidth="1"/>
    <col min="269" max="269" width="18" style="4" customWidth="1"/>
    <col min="270" max="273" width="17.42578125" style="4" customWidth="1"/>
    <col min="274" max="274" width="2" style="4" customWidth="1"/>
    <col min="275" max="513" width="11.42578125" style="4"/>
    <col min="514" max="514" width="1.5703125" style="4" customWidth="1"/>
    <col min="515" max="515" width="6.42578125" style="4" bestFit="1" customWidth="1"/>
    <col min="516" max="516" width="36.28515625" style="4" customWidth="1"/>
    <col min="517" max="517" width="4.28515625" style="4" bestFit="1" customWidth="1"/>
    <col min="518" max="518" width="6.5703125" style="4" customWidth="1"/>
    <col min="519" max="519" width="38.140625" style="4" customWidth="1"/>
    <col min="520" max="520" width="15.85546875" style="4" customWidth="1"/>
    <col min="521" max="521" width="16.140625" style="4" customWidth="1"/>
    <col min="522" max="522" width="15.5703125" style="4" customWidth="1"/>
    <col min="523" max="523" width="15.85546875" style="4" customWidth="1"/>
    <col min="524" max="524" width="16.140625" style="4" customWidth="1"/>
    <col min="525" max="525" width="18" style="4" customWidth="1"/>
    <col min="526" max="529" width="17.42578125" style="4" customWidth="1"/>
    <col min="530" max="530" width="2" style="4" customWidth="1"/>
    <col min="531" max="769" width="11.42578125" style="4"/>
    <col min="770" max="770" width="1.5703125" style="4" customWidth="1"/>
    <col min="771" max="771" width="6.42578125" style="4" bestFit="1" customWidth="1"/>
    <col min="772" max="772" width="36.28515625" style="4" customWidth="1"/>
    <col min="773" max="773" width="4.28515625" style="4" bestFit="1" customWidth="1"/>
    <col min="774" max="774" width="6.5703125" style="4" customWidth="1"/>
    <col min="775" max="775" width="38.140625" style="4" customWidth="1"/>
    <col min="776" max="776" width="15.85546875" style="4" customWidth="1"/>
    <col min="777" max="777" width="16.140625" style="4" customWidth="1"/>
    <col min="778" max="778" width="15.5703125" style="4" customWidth="1"/>
    <col min="779" max="779" width="15.85546875" style="4" customWidth="1"/>
    <col min="780" max="780" width="16.140625" style="4" customWidth="1"/>
    <col min="781" max="781" width="18" style="4" customWidth="1"/>
    <col min="782" max="785" width="17.42578125" style="4" customWidth="1"/>
    <col min="786" max="786" width="2" style="4" customWidth="1"/>
    <col min="787" max="1025" width="11.42578125" style="4"/>
    <col min="1026" max="1026" width="1.5703125" style="4" customWidth="1"/>
    <col min="1027" max="1027" width="6.42578125" style="4" bestFit="1" customWidth="1"/>
    <col min="1028" max="1028" width="36.28515625" style="4" customWidth="1"/>
    <col min="1029" max="1029" width="4.28515625" style="4" bestFit="1" customWidth="1"/>
    <col min="1030" max="1030" width="6.5703125" style="4" customWidth="1"/>
    <col min="1031" max="1031" width="38.140625" style="4" customWidth="1"/>
    <col min="1032" max="1032" width="15.85546875" style="4" customWidth="1"/>
    <col min="1033" max="1033" width="16.140625" style="4" customWidth="1"/>
    <col min="1034" max="1034" width="15.5703125" style="4" customWidth="1"/>
    <col min="1035" max="1035" width="15.85546875" style="4" customWidth="1"/>
    <col min="1036" max="1036" width="16.140625" style="4" customWidth="1"/>
    <col min="1037" max="1037" width="18" style="4" customWidth="1"/>
    <col min="1038" max="1041" width="17.42578125" style="4" customWidth="1"/>
    <col min="1042" max="1042" width="2" style="4" customWidth="1"/>
    <col min="1043" max="1281" width="11.42578125" style="4"/>
    <col min="1282" max="1282" width="1.5703125" style="4" customWidth="1"/>
    <col min="1283" max="1283" width="6.42578125" style="4" bestFit="1" customWidth="1"/>
    <col min="1284" max="1284" width="36.28515625" style="4" customWidth="1"/>
    <col min="1285" max="1285" width="4.28515625" style="4" bestFit="1" customWidth="1"/>
    <col min="1286" max="1286" width="6.5703125" style="4" customWidth="1"/>
    <col min="1287" max="1287" width="38.140625" style="4" customWidth="1"/>
    <col min="1288" max="1288" width="15.85546875" style="4" customWidth="1"/>
    <col min="1289" max="1289" width="16.140625" style="4" customWidth="1"/>
    <col min="1290" max="1290" width="15.5703125" style="4" customWidth="1"/>
    <col min="1291" max="1291" width="15.85546875" style="4" customWidth="1"/>
    <col min="1292" max="1292" width="16.140625" style="4" customWidth="1"/>
    <col min="1293" max="1293" width="18" style="4" customWidth="1"/>
    <col min="1294" max="1297" width="17.42578125" style="4" customWidth="1"/>
    <col min="1298" max="1298" width="2" style="4" customWidth="1"/>
    <col min="1299" max="1537" width="11.42578125" style="4"/>
    <col min="1538" max="1538" width="1.5703125" style="4" customWidth="1"/>
    <col min="1539" max="1539" width="6.42578125" style="4" bestFit="1" customWidth="1"/>
    <col min="1540" max="1540" width="36.28515625" style="4" customWidth="1"/>
    <col min="1541" max="1541" width="4.28515625" style="4" bestFit="1" customWidth="1"/>
    <col min="1542" max="1542" width="6.5703125" style="4" customWidth="1"/>
    <col min="1543" max="1543" width="38.140625" style="4" customWidth="1"/>
    <col min="1544" max="1544" width="15.85546875" style="4" customWidth="1"/>
    <col min="1545" max="1545" width="16.140625" style="4" customWidth="1"/>
    <col min="1546" max="1546" width="15.5703125" style="4" customWidth="1"/>
    <col min="1547" max="1547" width="15.85546875" style="4" customWidth="1"/>
    <col min="1548" max="1548" width="16.140625" style="4" customWidth="1"/>
    <col min="1549" max="1549" width="18" style="4" customWidth="1"/>
    <col min="1550" max="1553" width="17.42578125" style="4" customWidth="1"/>
    <col min="1554" max="1554" width="2" style="4" customWidth="1"/>
    <col min="1555" max="1793" width="11.42578125" style="4"/>
    <col min="1794" max="1794" width="1.5703125" style="4" customWidth="1"/>
    <col min="1795" max="1795" width="6.42578125" style="4" bestFit="1" customWidth="1"/>
    <col min="1796" max="1796" width="36.28515625" style="4" customWidth="1"/>
    <col min="1797" max="1797" width="4.28515625" style="4" bestFit="1" customWidth="1"/>
    <col min="1798" max="1798" width="6.5703125" style="4" customWidth="1"/>
    <col min="1799" max="1799" width="38.140625" style="4" customWidth="1"/>
    <col min="1800" max="1800" width="15.85546875" style="4" customWidth="1"/>
    <col min="1801" max="1801" width="16.140625" style="4" customWidth="1"/>
    <col min="1802" max="1802" width="15.5703125" style="4" customWidth="1"/>
    <col min="1803" max="1803" width="15.85546875" style="4" customWidth="1"/>
    <col min="1804" max="1804" width="16.140625" style="4" customWidth="1"/>
    <col min="1805" max="1805" width="18" style="4" customWidth="1"/>
    <col min="1806" max="1809" width="17.42578125" style="4" customWidth="1"/>
    <col min="1810" max="1810" width="2" style="4" customWidth="1"/>
    <col min="1811" max="2049" width="11.42578125" style="4"/>
    <col min="2050" max="2050" width="1.5703125" style="4" customWidth="1"/>
    <col min="2051" max="2051" width="6.42578125" style="4" bestFit="1" customWidth="1"/>
    <col min="2052" max="2052" width="36.28515625" style="4" customWidth="1"/>
    <col min="2053" max="2053" width="4.28515625" style="4" bestFit="1" customWidth="1"/>
    <col min="2054" max="2054" width="6.5703125" style="4" customWidth="1"/>
    <col min="2055" max="2055" width="38.140625" style="4" customWidth="1"/>
    <col min="2056" max="2056" width="15.85546875" style="4" customWidth="1"/>
    <col min="2057" max="2057" width="16.140625" style="4" customWidth="1"/>
    <col min="2058" max="2058" width="15.5703125" style="4" customWidth="1"/>
    <col min="2059" max="2059" width="15.85546875" style="4" customWidth="1"/>
    <col min="2060" max="2060" width="16.140625" style="4" customWidth="1"/>
    <col min="2061" max="2061" width="18" style="4" customWidth="1"/>
    <col min="2062" max="2065" width="17.42578125" style="4" customWidth="1"/>
    <col min="2066" max="2066" width="2" style="4" customWidth="1"/>
    <col min="2067" max="2305" width="11.42578125" style="4"/>
    <col min="2306" max="2306" width="1.5703125" style="4" customWidth="1"/>
    <col min="2307" max="2307" width="6.42578125" style="4" bestFit="1" customWidth="1"/>
    <col min="2308" max="2308" width="36.28515625" style="4" customWidth="1"/>
    <col min="2309" max="2309" width="4.28515625" style="4" bestFit="1" customWidth="1"/>
    <col min="2310" max="2310" width="6.5703125" style="4" customWidth="1"/>
    <col min="2311" max="2311" width="38.140625" style="4" customWidth="1"/>
    <col min="2312" max="2312" width="15.85546875" style="4" customWidth="1"/>
    <col min="2313" max="2313" width="16.140625" style="4" customWidth="1"/>
    <col min="2314" max="2314" width="15.5703125" style="4" customWidth="1"/>
    <col min="2315" max="2315" width="15.85546875" style="4" customWidth="1"/>
    <col min="2316" max="2316" width="16.140625" style="4" customWidth="1"/>
    <col min="2317" max="2317" width="18" style="4" customWidth="1"/>
    <col min="2318" max="2321" width="17.42578125" style="4" customWidth="1"/>
    <col min="2322" max="2322" width="2" style="4" customWidth="1"/>
    <col min="2323" max="2561" width="11.42578125" style="4"/>
    <col min="2562" max="2562" width="1.5703125" style="4" customWidth="1"/>
    <col min="2563" max="2563" width="6.42578125" style="4" bestFit="1" customWidth="1"/>
    <col min="2564" max="2564" width="36.28515625" style="4" customWidth="1"/>
    <col min="2565" max="2565" width="4.28515625" style="4" bestFit="1" customWidth="1"/>
    <col min="2566" max="2566" width="6.5703125" style="4" customWidth="1"/>
    <col min="2567" max="2567" width="38.140625" style="4" customWidth="1"/>
    <col min="2568" max="2568" width="15.85546875" style="4" customWidth="1"/>
    <col min="2569" max="2569" width="16.140625" style="4" customWidth="1"/>
    <col min="2570" max="2570" width="15.5703125" style="4" customWidth="1"/>
    <col min="2571" max="2571" width="15.85546875" style="4" customWidth="1"/>
    <col min="2572" max="2572" width="16.140625" style="4" customWidth="1"/>
    <col min="2573" max="2573" width="18" style="4" customWidth="1"/>
    <col min="2574" max="2577" width="17.42578125" style="4" customWidth="1"/>
    <col min="2578" max="2578" width="2" style="4" customWidth="1"/>
    <col min="2579" max="2817" width="11.42578125" style="4"/>
    <col min="2818" max="2818" width="1.5703125" style="4" customWidth="1"/>
    <col min="2819" max="2819" width="6.42578125" style="4" bestFit="1" customWidth="1"/>
    <col min="2820" max="2820" width="36.28515625" style="4" customWidth="1"/>
    <col min="2821" max="2821" width="4.28515625" style="4" bestFit="1" customWidth="1"/>
    <col min="2822" max="2822" width="6.5703125" style="4" customWidth="1"/>
    <col min="2823" max="2823" width="38.140625" style="4" customWidth="1"/>
    <col min="2824" max="2824" width="15.85546875" style="4" customWidth="1"/>
    <col min="2825" max="2825" width="16.140625" style="4" customWidth="1"/>
    <col min="2826" max="2826" width="15.5703125" style="4" customWidth="1"/>
    <col min="2827" max="2827" width="15.85546875" style="4" customWidth="1"/>
    <col min="2828" max="2828" width="16.140625" style="4" customWidth="1"/>
    <col min="2829" max="2829" width="18" style="4" customWidth="1"/>
    <col min="2830" max="2833" width="17.42578125" style="4" customWidth="1"/>
    <col min="2834" max="2834" width="2" style="4" customWidth="1"/>
    <col min="2835" max="3073" width="11.42578125" style="4"/>
    <col min="3074" max="3074" width="1.5703125" style="4" customWidth="1"/>
    <col min="3075" max="3075" width="6.42578125" style="4" bestFit="1" customWidth="1"/>
    <col min="3076" max="3076" width="36.28515625" style="4" customWidth="1"/>
    <col min="3077" max="3077" width="4.28515625" style="4" bestFit="1" customWidth="1"/>
    <col min="3078" max="3078" width="6.5703125" style="4" customWidth="1"/>
    <col min="3079" max="3079" width="38.140625" style="4" customWidth="1"/>
    <col min="3080" max="3080" width="15.85546875" style="4" customWidth="1"/>
    <col min="3081" max="3081" width="16.140625" style="4" customWidth="1"/>
    <col min="3082" max="3082" width="15.5703125" style="4" customWidth="1"/>
    <col min="3083" max="3083" width="15.85546875" style="4" customWidth="1"/>
    <col min="3084" max="3084" width="16.140625" style="4" customWidth="1"/>
    <col min="3085" max="3085" width="18" style="4" customWidth="1"/>
    <col min="3086" max="3089" width="17.42578125" style="4" customWidth="1"/>
    <col min="3090" max="3090" width="2" style="4" customWidth="1"/>
    <col min="3091" max="3329" width="11.42578125" style="4"/>
    <col min="3330" max="3330" width="1.5703125" style="4" customWidth="1"/>
    <col min="3331" max="3331" width="6.42578125" style="4" bestFit="1" customWidth="1"/>
    <col min="3332" max="3332" width="36.28515625" style="4" customWidth="1"/>
    <col min="3333" max="3333" width="4.28515625" style="4" bestFit="1" customWidth="1"/>
    <col min="3334" max="3334" width="6.5703125" style="4" customWidth="1"/>
    <col min="3335" max="3335" width="38.140625" style="4" customWidth="1"/>
    <col min="3336" max="3336" width="15.85546875" style="4" customWidth="1"/>
    <col min="3337" max="3337" width="16.140625" style="4" customWidth="1"/>
    <col min="3338" max="3338" width="15.5703125" style="4" customWidth="1"/>
    <col min="3339" max="3339" width="15.85546875" style="4" customWidth="1"/>
    <col min="3340" max="3340" width="16.140625" style="4" customWidth="1"/>
    <col min="3341" max="3341" width="18" style="4" customWidth="1"/>
    <col min="3342" max="3345" width="17.42578125" style="4" customWidth="1"/>
    <col min="3346" max="3346" width="2" style="4" customWidth="1"/>
    <col min="3347" max="3585" width="11.42578125" style="4"/>
    <col min="3586" max="3586" width="1.5703125" style="4" customWidth="1"/>
    <col min="3587" max="3587" width="6.42578125" style="4" bestFit="1" customWidth="1"/>
    <col min="3588" max="3588" width="36.28515625" style="4" customWidth="1"/>
    <col min="3589" max="3589" width="4.28515625" style="4" bestFit="1" customWidth="1"/>
    <col min="3590" max="3590" width="6.5703125" style="4" customWidth="1"/>
    <col min="3591" max="3591" width="38.140625" style="4" customWidth="1"/>
    <col min="3592" max="3592" width="15.85546875" style="4" customWidth="1"/>
    <col min="3593" max="3593" width="16.140625" style="4" customWidth="1"/>
    <col min="3594" max="3594" width="15.5703125" style="4" customWidth="1"/>
    <col min="3595" max="3595" width="15.85546875" style="4" customWidth="1"/>
    <col min="3596" max="3596" width="16.140625" style="4" customWidth="1"/>
    <col min="3597" max="3597" width="18" style="4" customWidth="1"/>
    <col min="3598" max="3601" width="17.42578125" style="4" customWidth="1"/>
    <col min="3602" max="3602" width="2" style="4" customWidth="1"/>
    <col min="3603" max="3841" width="11.42578125" style="4"/>
    <col min="3842" max="3842" width="1.5703125" style="4" customWidth="1"/>
    <col min="3843" max="3843" width="6.42578125" style="4" bestFit="1" customWidth="1"/>
    <col min="3844" max="3844" width="36.28515625" style="4" customWidth="1"/>
    <col min="3845" max="3845" width="4.28515625" style="4" bestFit="1" customWidth="1"/>
    <col min="3846" max="3846" width="6.5703125" style="4" customWidth="1"/>
    <col min="3847" max="3847" width="38.140625" style="4" customWidth="1"/>
    <col min="3848" max="3848" width="15.85546875" style="4" customWidth="1"/>
    <col min="3849" max="3849" width="16.140625" style="4" customWidth="1"/>
    <col min="3850" max="3850" width="15.5703125" style="4" customWidth="1"/>
    <col min="3851" max="3851" width="15.85546875" style="4" customWidth="1"/>
    <col min="3852" max="3852" width="16.140625" style="4" customWidth="1"/>
    <col min="3853" max="3853" width="18" style="4" customWidth="1"/>
    <col min="3854" max="3857" width="17.42578125" style="4" customWidth="1"/>
    <col min="3858" max="3858" width="2" style="4" customWidth="1"/>
    <col min="3859" max="4097" width="11.42578125" style="4"/>
    <col min="4098" max="4098" width="1.5703125" style="4" customWidth="1"/>
    <col min="4099" max="4099" width="6.42578125" style="4" bestFit="1" customWidth="1"/>
    <col min="4100" max="4100" width="36.28515625" style="4" customWidth="1"/>
    <col min="4101" max="4101" width="4.28515625" style="4" bestFit="1" customWidth="1"/>
    <col min="4102" max="4102" width="6.5703125" style="4" customWidth="1"/>
    <col min="4103" max="4103" width="38.140625" style="4" customWidth="1"/>
    <col min="4104" max="4104" width="15.85546875" style="4" customWidth="1"/>
    <col min="4105" max="4105" width="16.140625" style="4" customWidth="1"/>
    <col min="4106" max="4106" width="15.5703125" style="4" customWidth="1"/>
    <col min="4107" max="4107" width="15.85546875" style="4" customWidth="1"/>
    <col min="4108" max="4108" width="16.140625" style="4" customWidth="1"/>
    <col min="4109" max="4109" width="18" style="4" customWidth="1"/>
    <col min="4110" max="4113" width="17.42578125" style="4" customWidth="1"/>
    <col min="4114" max="4114" width="2" style="4" customWidth="1"/>
    <col min="4115" max="4353" width="11.42578125" style="4"/>
    <col min="4354" max="4354" width="1.5703125" style="4" customWidth="1"/>
    <col min="4355" max="4355" width="6.42578125" style="4" bestFit="1" customWidth="1"/>
    <col min="4356" max="4356" width="36.28515625" style="4" customWidth="1"/>
    <col min="4357" max="4357" width="4.28515625" style="4" bestFit="1" customWidth="1"/>
    <col min="4358" max="4358" width="6.5703125" style="4" customWidth="1"/>
    <col min="4359" max="4359" width="38.140625" style="4" customWidth="1"/>
    <col min="4360" max="4360" width="15.85546875" style="4" customWidth="1"/>
    <col min="4361" max="4361" width="16.140625" style="4" customWidth="1"/>
    <col min="4362" max="4362" width="15.5703125" style="4" customWidth="1"/>
    <col min="4363" max="4363" width="15.85546875" style="4" customWidth="1"/>
    <col min="4364" max="4364" width="16.140625" style="4" customWidth="1"/>
    <col min="4365" max="4365" width="18" style="4" customWidth="1"/>
    <col min="4366" max="4369" width="17.42578125" style="4" customWidth="1"/>
    <col min="4370" max="4370" width="2" style="4" customWidth="1"/>
    <col min="4371" max="4609" width="11.42578125" style="4"/>
    <col min="4610" max="4610" width="1.5703125" style="4" customWidth="1"/>
    <col min="4611" max="4611" width="6.42578125" style="4" bestFit="1" customWidth="1"/>
    <col min="4612" max="4612" width="36.28515625" style="4" customWidth="1"/>
    <col min="4613" max="4613" width="4.28515625" style="4" bestFit="1" customWidth="1"/>
    <col min="4614" max="4614" width="6.5703125" style="4" customWidth="1"/>
    <col min="4615" max="4615" width="38.140625" style="4" customWidth="1"/>
    <col min="4616" max="4616" width="15.85546875" style="4" customWidth="1"/>
    <col min="4617" max="4617" width="16.140625" style="4" customWidth="1"/>
    <col min="4618" max="4618" width="15.5703125" style="4" customWidth="1"/>
    <col min="4619" max="4619" width="15.85546875" style="4" customWidth="1"/>
    <col min="4620" max="4620" width="16.140625" style="4" customWidth="1"/>
    <col min="4621" max="4621" width="18" style="4" customWidth="1"/>
    <col min="4622" max="4625" width="17.42578125" style="4" customWidth="1"/>
    <col min="4626" max="4626" width="2" style="4" customWidth="1"/>
    <col min="4627" max="4865" width="11.42578125" style="4"/>
    <col min="4866" max="4866" width="1.5703125" style="4" customWidth="1"/>
    <col min="4867" max="4867" width="6.42578125" style="4" bestFit="1" customWidth="1"/>
    <col min="4868" max="4868" width="36.28515625" style="4" customWidth="1"/>
    <col min="4869" max="4869" width="4.28515625" style="4" bestFit="1" customWidth="1"/>
    <col min="4870" max="4870" width="6.5703125" style="4" customWidth="1"/>
    <col min="4871" max="4871" width="38.140625" style="4" customWidth="1"/>
    <col min="4872" max="4872" width="15.85546875" style="4" customWidth="1"/>
    <col min="4873" max="4873" width="16.140625" style="4" customWidth="1"/>
    <col min="4874" max="4874" width="15.5703125" style="4" customWidth="1"/>
    <col min="4875" max="4875" width="15.85546875" style="4" customWidth="1"/>
    <col min="4876" max="4876" width="16.140625" style="4" customWidth="1"/>
    <col min="4877" max="4877" width="18" style="4" customWidth="1"/>
    <col min="4878" max="4881" width="17.42578125" style="4" customWidth="1"/>
    <col min="4882" max="4882" width="2" style="4" customWidth="1"/>
    <col min="4883" max="5121" width="11.42578125" style="4"/>
    <col min="5122" max="5122" width="1.5703125" style="4" customWidth="1"/>
    <col min="5123" max="5123" width="6.42578125" style="4" bestFit="1" customWidth="1"/>
    <col min="5124" max="5124" width="36.28515625" style="4" customWidth="1"/>
    <col min="5125" max="5125" width="4.28515625" style="4" bestFit="1" customWidth="1"/>
    <col min="5126" max="5126" width="6.5703125" style="4" customWidth="1"/>
    <col min="5127" max="5127" width="38.140625" style="4" customWidth="1"/>
    <col min="5128" max="5128" width="15.85546875" style="4" customWidth="1"/>
    <col min="5129" max="5129" width="16.140625" style="4" customWidth="1"/>
    <col min="5130" max="5130" width="15.5703125" style="4" customWidth="1"/>
    <col min="5131" max="5131" width="15.85546875" style="4" customWidth="1"/>
    <col min="5132" max="5132" width="16.140625" style="4" customWidth="1"/>
    <col min="5133" max="5133" width="18" style="4" customWidth="1"/>
    <col min="5134" max="5137" width="17.42578125" style="4" customWidth="1"/>
    <col min="5138" max="5138" width="2" style="4" customWidth="1"/>
    <col min="5139" max="5377" width="11.42578125" style="4"/>
    <col min="5378" max="5378" width="1.5703125" style="4" customWidth="1"/>
    <col min="5379" max="5379" width="6.42578125" style="4" bestFit="1" customWidth="1"/>
    <col min="5380" max="5380" width="36.28515625" style="4" customWidth="1"/>
    <col min="5381" max="5381" width="4.28515625" style="4" bestFit="1" customWidth="1"/>
    <col min="5382" max="5382" width="6.5703125" style="4" customWidth="1"/>
    <col min="5383" max="5383" width="38.140625" style="4" customWidth="1"/>
    <col min="5384" max="5384" width="15.85546875" style="4" customWidth="1"/>
    <col min="5385" max="5385" width="16.140625" style="4" customWidth="1"/>
    <col min="5386" max="5386" width="15.5703125" style="4" customWidth="1"/>
    <col min="5387" max="5387" width="15.85546875" style="4" customWidth="1"/>
    <col min="5388" max="5388" width="16.140625" style="4" customWidth="1"/>
    <col min="5389" max="5389" width="18" style="4" customWidth="1"/>
    <col min="5390" max="5393" width="17.42578125" style="4" customWidth="1"/>
    <col min="5394" max="5394" width="2" style="4" customWidth="1"/>
    <col min="5395" max="5633" width="11.42578125" style="4"/>
    <col min="5634" max="5634" width="1.5703125" style="4" customWidth="1"/>
    <col min="5635" max="5635" width="6.42578125" style="4" bestFit="1" customWidth="1"/>
    <col min="5636" max="5636" width="36.28515625" style="4" customWidth="1"/>
    <col min="5637" max="5637" width="4.28515625" style="4" bestFit="1" customWidth="1"/>
    <col min="5638" max="5638" width="6.5703125" style="4" customWidth="1"/>
    <col min="5639" max="5639" width="38.140625" style="4" customWidth="1"/>
    <col min="5640" max="5640" width="15.85546875" style="4" customWidth="1"/>
    <col min="5641" max="5641" width="16.140625" style="4" customWidth="1"/>
    <col min="5642" max="5642" width="15.5703125" style="4" customWidth="1"/>
    <col min="5643" max="5643" width="15.85546875" style="4" customWidth="1"/>
    <col min="5644" max="5644" width="16.140625" style="4" customWidth="1"/>
    <col min="5645" max="5645" width="18" style="4" customWidth="1"/>
    <col min="5646" max="5649" width="17.42578125" style="4" customWidth="1"/>
    <col min="5650" max="5650" width="2" style="4" customWidth="1"/>
    <col min="5651" max="5889" width="11.42578125" style="4"/>
    <col min="5890" max="5890" width="1.5703125" style="4" customWidth="1"/>
    <col min="5891" max="5891" width="6.42578125" style="4" bestFit="1" customWidth="1"/>
    <col min="5892" max="5892" width="36.28515625" style="4" customWidth="1"/>
    <col min="5893" max="5893" width="4.28515625" style="4" bestFit="1" customWidth="1"/>
    <col min="5894" max="5894" width="6.5703125" style="4" customWidth="1"/>
    <col min="5895" max="5895" width="38.140625" style="4" customWidth="1"/>
    <col min="5896" max="5896" width="15.85546875" style="4" customWidth="1"/>
    <col min="5897" max="5897" width="16.140625" style="4" customWidth="1"/>
    <col min="5898" max="5898" width="15.5703125" style="4" customWidth="1"/>
    <col min="5899" max="5899" width="15.85546875" style="4" customWidth="1"/>
    <col min="5900" max="5900" width="16.140625" style="4" customWidth="1"/>
    <col min="5901" max="5901" width="18" style="4" customWidth="1"/>
    <col min="5902" max="5905" width="17.42578125" style="4" customWidth="1"/>
    <col min="5906" max="5906" width="2" style="4" customWidth="1"/>
    <col min="5907" max="6145" width="11.42578125" style="4"/>
    <col min="6146" max="6146" width="1.5703125" style="4" customWidth="1"/>
    <col min="6147" max="6147" width="6.42578125" style="4" bestFit="1" customWidth="1"/>
    <col min="6148" max="6148" width="36.28515625" style="4" customWidth="1"/>
    <col min="6149" max="6149" width="4.28515625" style="4" bestFit="1" customWidth="1"/>
    <col min="6150" max="6150" width="6.5703125" style="4" customWidth="1"/>
    <col min="6151" max="6151" width="38.140625" style="4" customWidth="1"/>
    <col min="6152" max="6152" width="15.85546875" style="4" customWidth="1"/>
    <col min="6153" max="6153" width="16.140625" style="4" customWidth="1"/>
    <col min="6154" max="6154" width="15.5703125" style="4" customWidth="1"/>
    <col min="6155" max="6155" width="15.85546875" style="4" customWidth="1"/>
    <col min="6156" max="6156" width="16.140625" style="4" customWidth="1"/>
    <col min="6157" max="6157" width="18" style="4" customWidth="1"/>
    <col min="6158" max="6161" width="17.42578125" style="4" customWidth="1"/>
    <col min="6162" max="6162" width="2" style="4" customWidth="1"/>
    <col min="6163" max="6401" width="11.42578125" style="4"/>
    <col min="6402" max="6402" width="1.5703125" style="4" customWidth="1"/>
    <col min="6403" max="6403" width="6.42578125" style="4" bestFit="1" customWidth="1"/>
    <col min="6404" max="6404" width="36.28515625" style="4" customWidth="1"/>
    <col min="6405" max="6405" width="4.28515625" style="4" bestFit="1" customWidth="1"/>
    <col min="6406" max="6406" width="6.5703125" style="4" customWidth="1"/>
    <col min="6407" max="6407" width="38.140625" style="4" customWidth="1"/>
    <col min="6408" max="6408" width="15.85546875" style="4" customWidth="1"/>
    <col min="6409" max="6409" width="16.140625" style="4" customWidth="1"/>
    <col min="6410" max="6410" width="15.5703125" style="4" customWidth="1"/>
    <col min="6411" max="6411" width="15.85546875" style="4" customWidth="1"/>
    <col min="6412" max="6412" width="16.140625" style="4" customWidth="1"/>
    <col min="6413" max="6413" width="18" style="4" customWidth="1"/>
    <col min="6414" max="6417" width="17.42578125" style="4" customWidth="1"/>
    <col min="6418" max="6418" width="2" style="4" customWidth="1"/>
    <col min="6419" max="6657" width="11.42578125" style="4"/>
    <col min="6658" max="6658" width="1.5703125" style="4" customWidth="1"/>
    <col min="6659" max="6659" width="6.42578125" style="4" bestFit="1" customWidth="1"/>
    <col min="6660" max="6660" width="36.28515625" style="4" customWidth="1"/>
    <col min="6661" max="6661" width="4.28515625" style="4" bestFit="1" customWidth="1"/>
    <col min="6662" max="6662" width="6.5703125" style="4" customWidth="1"/>
    <col min="6663" max="6663" width="38.140625" style="4" customWidth="1"/>
    <col min="6664" max="6664" width="15.85546875" style="4" customWidth="1"/>
    <col min="6665" max="6665" width="16.140625" style="4" customWidth="1"/>
    <col min="6666" max="6666" width="15.5703125" style="4" customWidth="1"/>
    <col min="6667" max="6667" width="15.85546875" style="4" customWidth="1"/>
    <col min="6668" max="6668" width="16.140625" style="4" customWidth="1"/>
    <col min="6669" max="6669" width="18" style="4" customWidth="1"/>
    <col min="6670" max="6673" width="17.42578125" style="4" customWidth="1"/>
    <col min="6674" max="6674" width="2" style="4" customWidth="1"/>
    <col min="6675" max="6913" width="11.42578125" style="4"/>
    <col min="6914" max="6914" width="1.5703125" style="4" customWidth="1"/>
    <col min="6915" max="6915" width="6.42578125" style="4" bestFit="1" customWidth="1"/>
    <col min="6916" max="6916" width="36.28515625" style="4" customWidth="1"/>
    <col min="6917" max="6917" width="4.28515625" style="4" bestFit="1" customWidth="1"/>
    <col min="6918" max="6918" width="6.5703125" style="4" customWidth="1"/>
    <col min="6919" max="6919" width="38.140625" style="4" customWidth="1"/>
    <col min="6920" max="6920" width="15.85546875" style="4" customWidth="1"/>
    <col min="6921" max="6921" width="16.140625" style="4" customWidth="1"/>
    <col min="6922" max="6922" width="15.5703125" style="4" customWidth="1"/>
    <col min="6923" max="6923" width="15.85546875" style="4" customWidth="1"/>
    <col min="6924" max="6924" width="16.140625" style="4" customWidth="1"/>
    <col min="6925" max="6925" width="18" style="4" customWidth="1"/>
    <col min="6926" max="6929" width="17.42578125" style="4" customWidth="1"/>
    <col min="6930" max="6930" width="2" style="4" customWidth="1"/>
    <col min="6931" max="7169" width="11.42578125" style="4"/>
    <col min="7170" max="7170" width="1.5703125" style="4" customWidth="1"/>
    <col min="7171" max="7171" width="6.42578125" style="4" bestFit="1" customWidth="1"/>
    <col min="7172" max="7172" width="36.28515625" style="4" customWidth="1"/>
    <col min="7173" max="7173" width="4.28515625" style="4" bestFit="1" customWidth="1"/>
    <col min="7174" max="7174" width="6.5703125" style="4" customWidth="1"/>
    <col min="7175" max="7175" width="38.140625" style="4" customWidth="1"/>
    <col min="7176" max="7176" width="15.85546875" style="4" customWidth="1"/>
    <col min="7177" max="7177" width="16.140625" style="4" customWidth="1"/>
    <col min="7178" max="7178" width="15.5703125" style="4" customWidth="1"/>
    <col min="7179" max="7179" width="15.85546875" style="4" customWidth="1"/>
    <col min="7180" max="7180" width="16.140625" style="4" customWidth="1"/>
    <col min="7181" max="7181" width="18" style="4" customWidth="1"/>
    <col min="7182" max="7185" width="17.42578125" style="4" customWidth="1"/>
    <col min="7186" max="7186" width="2" style="4" customWidth="1"/>
    <col min="7187" max="7425" width="11.42578125" style="4"/>
    <col min="7426" max="7426" width="1.5703125" style="4" customWidth="1"/>
    <col min="7427" max="7427" width="6.42578125" style="4" bestFit="1" customWidth="1"/>
    <col min="7428" max="7428" width="36.28515625" style="4" customWidth="1"/>
    <col min="7429" max="7429" width="4.28515625" style="4" bestFit="1" customWidth="1"/>
    <col min="7430" max="7430" width="6.5703125" style="4" customWidth="1"/>
    <col min="7431" max="7431" width="38.140625" style="4" customWidth="1"/>
    <col min="7432" max="7432" width="15.85546875" style="4" customWidth="1"/>
    <col min="7433" max="7433" width="16.140625" style="4" customWidth="1"/>
    <col min="7434" max="7434" width="15.5703125" style="4" customWidth="1"/>
    <col min="7435" max="7435" width="15.85546875" style="4" customWidth="1"/>
    <col min="7436" max="7436" width="16.140625" style="4" customWidth="1"/>
    <col min="7437" max="7437" width="18" style="4" customWidth="1"/>
    <col min="7438" max="7441" width="17.42578125" style="4" customWidth="1"/>
    <col min="7442" max="7442" width="2" style="4" customWidth="1"/>
    <col min="7443" max="7681" width="11.42578125" style="4"/>
    <col min="7682" max="7682" width="1.5703125" style="4" customWidth="1"/>
    <col min="7683" max="7683" width="6.42578125" style="4" bestFit="1" customWidth="1"/>
    <col min="7684" max="7684" width="36.28515625" style="4" customWidth="1"/>
    <col min="7685" max="7685" width="4.28515625" style="4" bestFit="1" customWidth="1"/>
    <col min="7686" max="7686" width="6.5703125" style="4" customWidth="1"/>
    <col min="7687" max="7687" width="38.140625" style="4" customWidth="1"/>
    <col min="7688" max="7688" width="15.85546875" style="4" customWidth="1"/>
    <col min="7689" max="7689" width="16.140625" style="4" customWidth="1"/>
    <col min="7690" max="7690" width="15.5703125" style="4" customWidth="1"/>
    <col min="7691" max="7691" width="15.85546875" style="4" customWidth="1"/>
    <col min="7692" max="7692" width="16.140625" style="4" customWidth="1"/>
    <col min="7693" max="7693" width="18" style="4" customWidth="1"/>
    <col min="7694" max="7697" width="17.42578125" style="4" customWidth="1"/>
    <col min="7698" max="7698" width="2" style="4" customWidth="1"/>
    <col min="7699" max="7937" width="11.42578125" style="4"/>
    <col min="7938" max="7938" width="1.5703125" style="4" customWidth="1"/>
    <col min="7939" max="7939" width="6.42578125" style="4" bestFit="1" customWidth="1"/>
    <col min="7940" max="7940" width="36.28515625" style="4" customWidth="1"/>
    <col min="7941" max="7941" width="4.28515625" style="4" bestFit="1" customWidth="1"/>
    <col min="7942" max="7942" width="6.5703125" style="4" customWidth="1"/>
    <col min="7943" max="7943" width="38.140625" style="4" customWidth="1"/>
    <col min="7944" max="7944" width="15.85546875" style="4" customWidth="1"/>
    <col min="7945" max="7945" width="16.140625" style="4" customWidth="1"/>
    <col min="7946" max="7946" width="15.5703125" style="4" customWidth="1"/>
    <col min="7947" max="7947" width="15.85546875" style="4" customWidth="1"/>
    <col min="7948" max="7948" width="16.140625" style="4" customWidth="1"/>
    <col min="7949" max="7949" width="18" style="4" customWidth="1"/>
    <col min="7950" max="7953" width="17.42578125" style="4" customWidth="1"/>
    <col min="7954" max="7954" width="2" style="4" customWidth="1"/>
    <col min="7955" max="8193" width="11.42578125" style="4"/>
    <col min="8194" max="8194" width="1.5703125" style="4" customWidth="1"/>
    <col min="8195" max="8195" width="6.42578125" style="4" bestFit="1" customWidth="1"/>
    <col min="8196" max="8196" width="36.28515625" style="4" customWidth="1"/>
    <col min="8197" max="8197" width="4.28515625" style="4" bestFit="1" customWidth="1"/>
    <col min="8198" max="8198" width="6.5703125" style="4" customWidth="1"/>
    <col min="8199" max="8199" width="38.140625" style="4" customWidth="1"/>
    <col min="8200" max="8200" width="15.85546875" style="4" customWidth="1"/>
    <col min="8201" max="8201" width="16.140625" style="4" customWidth="1"/>
    <col min="8202" max="8202" width="15.5703125" style="4" customWidth="1"/>
    <col min="8203" max="8203" width="15.85546875" style="4" customWidth="1"/>
    <col min="8204" max="8204" width="16.140625" style="4" customWidth="1"/>
    <col min="8205" max="8205" width="18" style="4" customWidth="1"/>
    <col min="8206" max="8209" width="17.42578125" style="4" customWidth="1"/>
    <col min="8210" max="8210" width="2" style="4" customWidth="1"/>
    <col min="8211" max="8449" width="11.42578125" style="4"/>
    <col min="8450" max="8450" width="1.5703125" style="4" customWidth="1"/>
    <col min="8451" max="8451" width="6.42578125" style="4" bestFit="1" customWidth="1"/>
    <col min="8452" max="8452" width="36.28515625" style="4" customWidth="1"/>
    <col min="8453" max="8453" width="4.28515625" style="4" bestFit="1" customWidth="1"/>
    <col min="8454" max="8454" width="6.5703125" style="4" customWidth="1"/>
    <col min="8455" max="8455" width="38.140625" style="4" customWidth="1"/>
    <col min="8456" max="8456" width="15.85546875" style="4" customWidth="1"/>
    <col min="8457" max="8457" width="16.140625" style="4" customWidth="1"/>
    <col min="8458" max="8458" width="15.5703125" style="4" customWidth="1"/>
    <col min="8459" max="8459" width="15.85546875" style="4" customWidth="1"/>
    <col min="8460" max="8460" width="16.140625" style="4" customWidth="1"/>
    <col min="8461" max="8461" width="18" style="4" customWidth="1"/>
    <col min="8462" max="8465" width="17.42578125" style="4" customWidth="1"/>
    <col min="8466" max="8466" width="2" style="4" customWidth="1"/>
    <col min="8467" max="8705" width="11.42578125" style="4"/>
    <col min="8706" max="8706" width="1.5703125" style="4" customWidth="1"/>
    <col min="8707" max="8707" width="6.42578125" style="4" bestFit="1" customWidth="1"/>
    <col min="8708" max="8708" width="36.28515625" style="4" customWidth="1"/>
    <col min="8709" max="8709" width="4.28515625" style="4" bestFit="1" customWidth="1"/>
    <col min="8710" max="8710" width="6.5703125" style="4" customWidth="1"/>
    <col min="8711" max="8711" width="38.140625" style="4" customWidth="1"/>
    <col min="8712" max="8712" width="15.85546875" style="4" customWidth="1"/>
    <col min="8713" max="8713" width="16.140625" style="4" customWidth="1"/>
    <col min="8714" max="8714" width="15.5703125" style="4" customWidth="1"/>
    <col min="8715" max="8715" width="15.85546875" style="4" customWidth="1"/>
    <col min="8716" max="8716" width="16.140625" style="4" customWidth="1"/>
    <col min="8717" max="8717" width="18" style="4" customWidth="1"/>
    <col min="8718" max="8721" width="17.42578125" style="4" customWidth="1"/>
    <col min="8722" max="8722" width="2" style="4" customWidth="1"/>
    <col min="8723" max="8961" width="11.42578125" style="4"/>
    <col min="8962" max="8962" width="1.5703125" style="4" customWidth="1"/>
    <col min="8963" max="8963" width="6.42578125" style="4" bestFit="1" customWidth="1"/>
    <col min="8964" max="8964" width="36.28515625" style="4" customWidth="1"/>
    <col min="8965" max="8965" width="4.28515625" style="4" bestFit="1" customWidth="1"/>
    <col min="8966" max="8966" width="6.5703125" style="4" customWidth="1"/>
    <col min="8967" max="8967" width="38.140625" style="4" customWidth="1"/>
    <col min="8968" max="8968" width="15.85546875" style="4" customWidth="1"/>
    <col min="8969" max="8969" width="16.140625" style="4" customWidth="1"/>
    <col min="8970" max="8970" width="15.5703125" style="4" customWidth="1"/>
    <col min="8971" max="8971" width="15.85546875" style="4" customWidth="1"/>
    <col min="8972" max="8972" width="16.140625" style="4" customWidth="1"/>
    <col min="8973" max="8973" width="18" style="4" customWidth="1"/>
    <col min="8974" max="8977" width="17.42578125" style="4" customWidth="1"/>
    <col min="8978" max="8978" width="2" style="4" customWidth="1"/>
    <col min="8979" max="9217" width="11.42578125" style="4"/>
    <col min="9218" max="9218" width="1.5703125" style="4" customWidth="1"/>
    <col min="9219" max="9219" width="6.42578125" style="4" bestFit="1" customWidth="1"/>
    <col min="9220" max="9220" width="36.28515625" style="4" customWidth="1"/>
    <col min="9221" max="9221" width="4.28515625" style="4" bestFit="1" customWidth="1"/>
    <col min="9222" max="9222" width="6.5703125" style="4" customWidth="1"/>
    <col min="9223" max="9223" width="38.140625" style="4" customWidth="1"/>
    <col min="9224" max="9224" width="15.85546875" style="4" customWidth="1"/>
    <col min="9225" max="9225" width="16.140625" style="4" customWidth="1"/>
    <col min="9226" max="9226" width="15.5703125" style="4" customWidth="1"/>
    <col min="9227" max="9227" width="15.85546875" style="4" customWidth="1"/>
    <col min="9228" max="9228" width="16.140625" style="4" customWidth="1"/>
    <col min="9229" max="9229" width="18" style="4" customWidth="1"/>
    <col min="9230" max="9233" width="17.42578125" style="4" customWidth="1"/>
    <col min="9234" max="9234" width="2" style="4" customWidth="1"/>
    <col min="9235" max="9473" width="11.42578125" style="4"/>
    <col min="9474" max="9474" width="1.5703125" style="4" customWidth="1"/>
    <col min="9475" max="9475" width="6.42578125" style="4" bestFit="1" customWidth="1"/>
    <col min="9476" max="9476" width="36.28515625" style="4" customWidth="1"/>
    <col min="9477" max="9477" width="4.28515625" style="4" bestFit="1" customWidth="1"/>
    <col min="9478" max="9478" width="6.5703125" style="4" customWidth="1"/>
    <col min="9479" max="9479" width="38.140625" style="4" customWidth="1"/>
    <col min="9480" max="9480" width="15.85546875" style="4" customWidth="1"/>
    <col min="9481" max="9481" width="16.140625" style="4" customWidth="1"/>
    <col min="9482" max="9482" width="15.5703125" style="4" customWidth="1"/>
    <col min="9483" max="9483" width="15.85546875" style="4" customWidth="1"/>
    <col min="9484" max="9484" width="16.140625" style="4" customWidth="1"/>
    <col min="9485" max="9485" width="18" style="4" customWidth="1"/>
    <col min="9486" max="9489" width="17.42578125" style="4" customWidth="1"/>
    <col min="9490" max="9490" width="2" style="4" customWidth="1"/>
    <col min="9491" max="9729" width="11.42578125" style="4"/>
    <col min="9730" max="9730" width="1.5703125" style="4" customWidth="1"/>
    <col min="9731" max="9731" width="6.42578125" style="4" bestFit="1" customWidth="1"/>
    <col min="9732" max="9732" width="36.28515625" style="4" customWidth="1"/>
    <col min="9733" max="9733" width="4.28515625" style="4" bestFit="1" customWidth="1"/>
    <col min="9734" max="9734" width="6.5703125" style="4" customWidth="1"/>
    <col min="9735" max="9735" width="38.140625" style="4" customWidth="1"/>
    <col min="9736" max="9736" width="15.85546875" style="4" customWidth="1"/>
    <col min="9737" max="9737" width="16.140625" style="4" customWidth="1"/>
    <col min="9738" max="9738" width="15.5703125" style="4" customWidth="1"/>
    <col min="9739" max="9739" width="15.85546875" style="4" customWidth="1"/>
    <col min="9740" max="9740" width="16.140625" style="4" customWidth="1"/>
    <col min="9741" max="9741" width="18" style="4" customWidth="1"/>
    <col min="9742" max="9745" width="17.42578125" style="4" customWidth="1"/>
    <col min="9746" max="9746" width="2" style="4" customWidth="1"/>
    <col min="9747" max="9985" width="11.42578125" style="4"/>
    <col min="9986" max="9986" width="1.5703125" style="4" customWidth="1"/>
    <col min="9987" max="9987" width="6.42578125" style="4" bestFit="1" customWidth="1"/>
    <col min="9988" max="9988" width="36.28515625" style="4" customWidth="1"/>
    <col min="9989" max="9989" width="4.28515625" style="4" bestFit="1" customWidth="1"/>
    <col min="9990" max="9990" width="6.5703125" style="4" customWidth="1"/>
    <col min="9991" max="9991" width="38.140625" style="4" customWidth="1"/>
    <col min="9992" max="9992" width="15.85546875" style="4" customWidth="1"/>
    <col min="9993" max="9993" width="16.140625" style="4" customWidth="1"/>
    <col min="9994" max="9994" width="15.5703125" style="4" customWidth="1"/>
    <col min="9995" max="9995" width="15.85546875" style="4" customWidth="1"/>
    <col min="9996" max="9996" width="16.140625" style="4" customWidth="1"/>
    <col min="9997" max="9997" width="18" style="4" customWidth="1"/>
    <col min="9998" max="10001" width="17.42578125" style="4" customWidth="1"/>
    <col min="10002" max="10002" width="2" style="4" customWidth="1"/>
    <col min="10003" max="10241" width="11.42578125" style="4"/>
    <col min="10242" max="10242" width="1.5703125" style="4" customWidth="1"/>
    <col min="10243" max="10243" width="6.42578125" style="4" bestFit="1" customWidth="1"/>
    <col min="10244" max="10244" width="36.28515625" style="4" customWidth="1"/>
    <col min="10245" max="10245" width="4.28515625" style="4" bestFit="1" customWidth="1"/>
    <col min="10246" max="10246" width="6.5703125" style="4" customWidth="1"/>
    <col min="10247" max="10247" width="38.140625" style="4" customWidth="1"/>
    <col min="10248" max="10248" width="15.85546875" style="4" customWidth="1"/>
    <col min="10249" max="10249" width="16.140625" style="4" customWidth="1"/>
    <col min="10250" max="10250" width="15.5703125" style="4" customWidth="1"/>
    <col min="10251" max="10251" width="15.85546875" style="4" customWidth="1"/>
    <col min="10252" max="10252" width="16.140625" style="4" customWidth="1"/>
    <col min="10253" max="10253" width="18" style="4" customWidth="1"/>
    <col min="10254" max="10257" width="17.42578125" style="4" customWidth="1"/>
    <col min="10258" max="10258" width="2" style="4" customWidth="1"/>
    <col min="10259" max="10497" width="11.42578125" style="4"/>
    <col min="10498" max="10498" width="1.5703125" style="4" customWidth="1"/>
    <col min="10499" max="10499" width="6.42578125" style="4" bestFit="1" customWidth="1"/>
    <col min="10500" max="10500" width="36.28515625" style="4" customWidth="1"/>
    <col min="10501" max="10501" width="4.28515625" style="4" bestFit="1" customWidth="1"/>
    <col min="10502" max="10502" width="6.5703125" style="4" customWidth="1"/>
    <col min="10503" max="10503" width="38.140625" style="4" customWidth="1"/>
    <col min="10504" max="10504" width="15.85546875" style="4" customWidth="1"/>
    <col min="10505" max="10505" width="16.140625" style="4" customWidth="1"/>
    <col min="10506" max="10506" width="15.5703125" style="4" customWidth="1"/>
    <col min="10507" max="10507" width="15.85546875" style="4" customWidth="1"/>
    <col min="10508" max="10508" width="16.140625" style="4" customWidth="1"/>
    <col min="10509" max="10509" width="18" style="4" customWidth="1"/>
    <col min="10510" max="10513" width="17.42578125" style="4" customWidth="1"/>
    <col min="10514" max="10514" width="2" style="4" customWidth="1"/>
    <col min="10515" max="10753" width="11.42578125" style="4"/>
    <col min="10754" max="10754" width="1.5703125" style="4" customWidth="1"/>
    <col min="10755" max="10755" width="6.42578125" style="4" bestFit="1" customWidth="1"/>
    <col min="10756" max="10756" width="36.28515625" style="4" customWidth="1"/>
    <col min="10757" max="10757" width="4.28515625" style="4" bestFit="1" customWidth="1"/>
    <col min="10758" max="10758" width="6.5703125" style="4" customWidth="1"/>
    <col min="10759" max="10759" width="38.140625" style="4" customWidth="1"/>
    <col min="10760" max="10760" width="15.85546875" style="4" customWidth="1"/>
    <col min="10761" max="10761" width="16.140625" style="4" customWidth="1"/>
    <col min="10762" max="10762" width="15.5703125" style="4" customWidth="1"/>
    <col min="10763" max="10763" width="15.85546875" style="4" customWidth="1"/>
    <col min="10764" max="10764" width="16.140625" style="4" customWidth="1"/>
    <col min="10765" max="10765" width="18" style="4" customWidth="1"/>
    <col min="10766" max="10769" width="17.42578125" style="4" customWidth="1"/>
    <col min="10770" max="10770" width="2" style="4" customWidth="1"/>
    <col min="10771" max="11009" width="11.42578125" style="4"/>
    <col min="11010" max="11010" width="1.5703125" style="4" customWidth="1"/>
    <col min="11011" max="11011" width="6.42578125" style="4" bestFit="1" customWidth="1"/>
    <col min="11012" max="11012" width="36.28515625" style="4" customWidth="1"/>
    <col min="11013" max="11013" width="4.28515625" style="4" bestFit="1" customWidth="1"/>
    <col min="11014" max="11014" width="6.5703125" style="4" customWidth="1"/>
    <col min="11015" max="11015" width="38.140625" style="4" customWidth="1"/>
    <col min="11016" max="11016" width="15.85546875" style="4" customWidth="1"/>
    <col min="11017" max="11017" width="16.140625" style="4" customWidth="1"/>
    <col min="11018" max="11018" width="15.5703125" style="4" customWidth="1"/>
    <col min="11019" max="11019" width="15.85546875" style="4" customWidth="1"/>
    <col min="11020" max="11020" width="16.140625" style="4" customWidth="1"/>
    <col min="11021" max="11021" width="18" style="4" customWidth="1"/>
    <col min="11022" max="11025" width="17.42578125" style="4" customWidth="1"/>
    <col min="11026" max="11026" width="2" style="4" customWidth="1"/>
    <col min="11027" max="11265" width="11.42578125" style="4"/>
    <col min="11266" max="11266" width="1.5703125" style="4" customWidth="1"/>
    <col min="11267" max="11267" width="6.42578125" style="4" bestFit="1" customWidth="1"/>
    <col min="11268" max="11268" width="36.28515625" style="4" customWidth="1"/>
    <col min="11269" max="11269" width="4.28515625" style="4" bestFit="1" customWidth="1"/>
    <col min="11270" max="11270" width="6.5703125" style="4" customWidth="1"/>
    <col min="11271" max="11271" width="38.140625" style="4" customWidth="1"/>
    <col min="11272" max="11272" width="15.85546875" style="4" customWidth="1"/>
    <col min="11273" max="11273" width="16.140625" style="4" customWidth="1"/>
    <col min="11274" max="11274" width="15.5703125" style="4" customWidth="1"/>
    <col min="11275" max="11275" width="15.85546875" style="4" customWidth="1"/>
    <col min="11276" max="11276" width="16.140625" style="4" customWidth="1"/>
    <col min="11277" max="11277" width="18" style="4" customWidth="1"/>
    <col min="11278" max="11281" width="17.42578125" style="4" customWidth="1"/>
    <col min="11282" max="11282" width="2" style="4" customWidth="1"/>
    <col min="11283" max="11521" width="11.42578125" style="4"/>
    <col min="11522" max="11522" width="1.5703125" style="4" customWidth="1"/>
    <col min="11523" max="11523" width="6.42578125" style="4" bestFit="1" customWidth="1"/>
    <col min="11524" max="11524" width="36.28515625" style="4" customWidth="1"/>
    <col min="11525" max="11525" width="4.28515625" style="4" bestFit="1" customWidth="1"/>
    <col min="11526" max="11526" width="6.5703125" style="4" customWidth="1"/>
    <col min="11527" max="11527" width="38.140625" style="4" customWidth="1"/>
    <col min="11528" max="11528" width="15.85546875" style="4" customWidth="1"/>
    <col min="11529" max="11529" width="16.140625" style="4" customWidth="1"/>
    <col min="11530" max="11530" width="15.5703125" style="4" customWidth="1"/>
    <col min="11531" max="11531" width="15.85546875" style="4" customWidth="1"/>
    <col min="11532" max="11532" width="16.140625" style="4" customWidth="1"/>
    <col min="11533" max="11533" width="18" style="4" customWidth="1"/>
    <col min="11534" max="11537" width="17.42578125" style="4" customWidth="1"/>
    <col min="11538" max="11538" width="2" style="4" customWidth="1"/>
    <col min="11539" max="11777" width="11.42578125" style="4"/>
    <col min="11778" max="11778" width="1.5703125" style="4" customWidth="1"/>
    <col min="11779" max="11779" width="6.42578125" style="4" bestFit="1" customWidth="1"/>
    <col min="11780" max="11780" width="36.28515625" style="4" customWidth="1"/>
    <col min="11781" max="11781" width="4.28515625" style="4" bestFit="1" customWidth="1"/>
    <col min="11782" max="11782" width="6.5703125" style="4" customWidth="1"/>
    <col min="11783" max="11783" width="38.140625" style="4" customWidth="1"/>
    <col min="11784" max="11784" width="15.85546875" style="4" customWidth="1"/>
    <col min="11785" max="11785" width="16.140625" style="4" customWidth="1"/>
    <col min="11786" max="11786" width="15.5703125" style="4" customWidth="1"/>
    <col min="11787" max="11787" width="15.85546875" style="4" customWidth="1"/>
    <col min="11788" max="11788" width="16.140625" style="4" customWidth="1"/>
    <col min="11789" max="11789" width="18" style="4" customWidth="1"/>
    <col min="11790" max="11793" width="17.42578125" style="4" customWidth="1"/>
    <col min="11794" max="11794" width="2" style="4" customWidth="1"/>
    <col min="11795" max="12033" width="11.42578125" style="4"/>
    <col min="12034" max="12034" width="1.5703125" style="4" customWidth="1"/>
    <col min="12035" max="12035" width="6.42578125" style="4" bestFit="1" customWidth="1"/>
    <col min="12036" max="12036" width="36.28515625" style="4" customWidth="1"/>
    <col min="12037" max="12037" width="4.28515625" style="4" bestFit="1" customWidth="1"/>
    <col min="12038" max="12038" width="6.5703125" style="4" customWidth="1"/>
    <col min="12039" max="12039" width="38.140625" style="4" customWidth="1"/>
    <col min="12040" max="12040" width="15.85546875" style="4" customWidth="1"/>
    <col min="12041" max="12041" width="16.140625" style="4" customWidth="1"/>
    <col min="12042" max="12042" width="15.5703125" style="4" customWidth="1"/>
    <col min="12043" max="12043" width="15.85546875" style="4" customWidth="1"/>
    <col min="12044" max="12044" width="16.140625" style="4" customWidth="1"/>
    <col min="12045" max="12045" width="18" style="4" customWidth="1"/>
    <col min="12046" max="12049" width="17.42578125" style="4" customWidth="1"/>
    <col min="12050" max="12050" width="2" style="4" customWidth="1"/>
    <col min="12051" max="12289" width="11.42578125" style="4"/>
    <col min="12290" max="12290" width="1.5703125" style="4" customWidth="1"/>
    <col min="12291" max="12291" width="6.42578125" style="4" bestFit="1" customWidth="1"/>
    <col min="12292" max="12292" width="36.28515625" style="4" customWidth="1"/>
    <col min="12293" max="12293" width="4.28515625" style="4" bestFit="1" customWidth="1"/>
    <col min="12294" max="12294" width="6.5703125" style="4" customWidth="1"/>
    <col min="12295" max="12295" width="38.140625" style="4" customWidth="1"/>
    <col min="12296" max="12296" width="15.85546875" style="4" customWidth="1"/>
    <col min="12297" max="12297" width="16.140625" style="4" customWidth="1"/>
    <col min="12298" max="12298" width="15.5703125" style="4" customWidth="1"/>
    <col min="12299" max="12299" width="15.85546875" style="4" customWidth="1"/>
    <col min="12300" max="12300" width="16.140625" style="4" customWidth="1"/>
    <col min="12301" max="12301" width="18" style="4" customWidth="1"/>
    <col min="12302" max="12305" width="17.42578125" style="4" customWidth="1"/>
    <col min="12306" max="12306" width="2" style="4" customWidth="1"/>
    <col min="12307" max="12545" width="11.42578125" style="4"/>
    <col min="12546" max="12546" width="1.5703125" style="4" customWidth="1"/>
    <col min="12547" max="12547" width="6.42578125" style="4" bestFit="1" customWidth="1"/>
    <col min="12548" max="12548" width="36.28515625" style="4" customWidth="1"/>
    <col min="12549" max="12549" width="4.28515625" style="4" bestFit="1" customWidth="1"/>
    <col min="12550" max="12550" width="6.5703125" style="4" customWidth="1"/>
    <col min="12551" max="12551" width="38.140625" style="4" customWidth="1"/>
    <col min="12552" max="12552" width="15.85546875" style="4" customWidth="1"/>
    <col min="12553" max="12553" width="16.140625" style="4" customWidth="1"/>
    <col min="12554" max="12554" width="15.5703125" style="4" customWidth="1"/>
    <col min="12555" max="12555" width="15.85546875" style="4" customWidth="1"/>
    <col min="12556" max="12556" width="16.140625" style="4" customWidth="1"/>
    <col min="12557" max="12557" width="18" style="4" customWidth="1"/>
    <col min="12558" max="12561" width="17.42578125" style="4" customWidth="1"/>
    <col min="12562" max="12562" width="2" style="4" customWidth="1"/>
    <col min="12563" max="12801" width="11.42578125" style="4"/>
    <col min="12802" max="12802" width="1.5703125" style="4" customWidth="1"/>
    <col min="12803" max="12803" width="6.42578125" style="4" bestFit="1" customWidth="1"/>
    <col min="12804" max="12804" width="36.28515625" style="4" customWidth="1"/>
    <col min="12805" max="12805" width="4.28515625" style="4" bestFit="1" customWidth="1"/>
    <col min="12806" max="12806" width="6.5703125" style="4" customWidth="1"/>
    <col min="12807" max="12807" width="38.140625" style="4" customWidth="1"/>
    <col min="12808" max="12808" width="15.85546875" style="4" customWidth="1"/>
    <col min="12809" max="12809" width="16.140625" style="4" customWidth="1"/>
    <col min="12810" max="12810" width="15.5703125" style="4" customWidth="1"/>
    <col min="12811" max="12811" width="15.85546875" style="4" customWidth="1"/>
    <col min="12812" max="12812" width="16.140625" style="4" customWidth="1"/>
    <col min="12813" max="12813" width="18" style="4" customWidth="1"/>
    <col min="12814" max="12817" width="17.42578125" style="4" customWidth="1"/>
    <col min="12818" max="12818" width="2" style="4" customWidth="1"/>
    <col min="12819" max="13057" width="11.42578125" style="4"/>
    <col min="13058" max="13058" width="1.5703125" style="4" customWidth="1"/>
    <col min="13059" max="13059" width="6.42578125" style="4" bestFit="1" customWidth="1"/>
    <col min="13060" max="13060" width="36.28515625" style="4" customWidth="1"/>
    <col min="13061" max="13061" width="4.28515625" style="4" bestFit="1" customWidth="1"/>
    <col min="13062" max="13062" width="6.5703125" style="4" customWidth="1"/>
    <col min="13063" max="13063" width="38.140625" style="4" customWidth="1"/>
    <col min="13064" max="13064" width="15.85546875" style="4" customWidth="1"/>
    <col min="13065" max="13065" width="16.140625" style="4" customWidth="1"/>
    <col min="13066" max="13066" width="15.5703125" style="4" customWidth="1"/>
    <col min="13067" max="13067" width="15.85546875" style="4" customWidth="1"/>
    <col min="13068" max="13068" width="16.140625" style="4" customWidth="1"/>
    <col min="13069" max="13069" width="18" style="4" customWidth="1"/>
    <col min="13070" max="13073" width="17.42578125" style="4" customWidth="1"/>
    <col min="13074" max="13074" width="2" style="4" customWidth="1"/>
    <col min="13075" max="13313" width="11.42578125" style="4"/>
    <col min="13314" max="13314" width="1.5703125" style="4" customWidth="1"/>
    <col min="13315" max="13315" width="6.42578125" style="4" bestFit="1" customWidth="1"/>
    <col min="13316" max="13316" width="36.28515625" style="4" customWidth="1"/>
    <col min="13317" max="13317" width="4.28515625" style="4" bestFit="1" customWidth="1"/>
    <col min="13318" max="13318" width="6.5703125" style="4" customWidth="1"/>
    <col min="13319" max="13319" width="38.140625" style="4" customWidth="1"/>
    <col min="13320" max="13320" width="15.85546875" style="4" customWidth="1"/>
    <col min="13321" max="13321" width="16.140625" style="4" customWidth="1"/>
    <col min="13322" max="13322" width="15.5703125" style="4" customWidth="1"/>
    <col min="13323" max="13323" width="15.85546875" style="4" customWidth="1"/>
    <col min="13324" max="13324" width="16.140625" style="4" customWidth="1"/>
    <col min="13325" max="13325" width="18" style="4" customWidth="1"/>
    <col min="13326" max="13329" width="17.42578125" style="4" customWidth="1"/>
    <col min="13330" max="13330" width="2" style="4" customWidth="1"/>
    <col min="13331" max="13569" width="11.42578125" style="4"/>
    <col min="13570" max="13570" width="1.5703125" style="4" customWidth="1"/>
    <col min="13571" max="13571" width="6.42578125" style="4" bestFit="1" customWidth="1"/>
    <col min="13572" max="13572" width="36.28515625" style="4" customWidth="1"/>
    <col min="13573" max="13573" width="4.28515625" style="4" bestFit="1" customWidth="1"/>
    <col min="13574" max="13574" width="6.5703125" style="4" customWidth="1"/>
    <col min="13575" max="13575" width="38.140625" style="4" customWidth="1"/>
    <col min="13576" max="13576" width="15.85546875" style="4" customWidth="1"/>
    <col min="13577" max="13577" width="16.140625" style="4" customWidth="1"/>
    <col min="13578" max="13578" width="15.5703125" style="4" customWidth="1"/>
    <col min="13579" max="13579" width="15.85546875" style="4" customWidth="1"/>
    <col min="13580" max="13580" width="16.140625" style="4" customWidth="1"/>
    <col min="13581" max="13581" width="18" style="4" customWidth="1"/>
    <col min="13582" max="13585" width="17.42578125" style="4" customWidth="1"/>
    <col min="13586" max="13586" width="2" style="4" customWidth="1"/>
    <col min="13587" max="13825" width="11.42578125" style="4"/>
    <col min="13826" max="13826" width="1.5703125" style="4" customWidth="1"/>
    <col min="13827" max="13827" width="6.42578125" style="4" bestFit="1" customWidth="1"/>
    <col min="13828" max="13828" width="36.28515625" style="4" customWidth="1"/>
    <col min="13829" max="13829" width="4.28515625" style="4" bestFit="1" customWidth="1"/>
    <col min="13830" max="13830" width="6.5703125" style="4" customWidth="1"/>
    <col min="13831" max="13831" width="38.140625" style="4" customWidth="1"/>
    <col min="13832" max="13832" width="15.85546875" style="4" customWidth="1"/>
    <col min="13833" max="13833" width="16.140625" style="4" customWidth="1"/>
    <col min="13834" max="13834" width="15.5703125" style="4" customWidth="1"/>
    <col min="13835" max="13835" width="15.85546875" style="4" customWidth="1"/>
    <col min="13836" max="13836" width="16.140625" style="4" customWidth="1"/>
    <col min="13837" max="13837" width="18" style="4" customWidth="1"/>
    <col min="13838" max="13841" width="17.42578125" style="4" customWidth="1"/>
    <col min="13842" max="13842" width="2" style="4" customWidth="1"/>
    <col min="13843" max="14081" width="11.42578125" style="4"/>
    <col min="14082" max="14082" width="1.5703125" style="4" customWidth="1"/>
    <col min="14083" max="14083" width="6.42578125" style="4" bestFit="1" customWidth="1"/>
    <col min="14084" max="14084" width="36.28515625" style="4" customWidth="1"/>
    <col min="14085" max="14085" width="4.28515625" style="4" bestFit="1" customWidth="1"/>
    <col min="14086" max="14086" width="6.5703125" style="4" customWidth="1"/>
    <col min="14087" max="14087" width="38.140625" style="4" customWidth="1"/>
    <col min="14088" max="14088" width="15.85546875" style="4" customWidth="1"/>
    <col min="14089" max="14089" width="16.140625" style="4" customWidth="1"/>
    <col min="14090" max="14090" width="15.5703125" style="4" customWidth="1"/>
    <col min="14091" max="14091" width="15.85546875" style="4" customWidth="1"/>
    <col min="14092" max="14092" width="16.140625" style="4" customWidth="1"/>
    <col min="14093" max="14093" width="18" style="4" customWidth="1"/>
    <col min="14094" max="14097" width="17.42578125" style="4" customWidth="1"/>
    <col min="14098" max="14098" width="2" style="4" customWidth="1"/>
    <col min="14099" max="14337" width="11.42578125" style="4"/>
    <col min="14338" max="14338" width="1.5703125" style="4" customWidth="1"/>
    <col min="14339" max="14339" width="6.42578125" style="4" bestFit="1" customWidth="1"/>
    <col min="14340" max="14340" width="36.28515625" style="4" customWidth="1"/>
    <col min="14341" max="14341" width="4.28515625" style="4" bestFit="1" customWidth="1"/>
    <col min="14342" max="14342" width="6.5703125" style="4" customWidth="1"/>
    <col min="14343" max="14343" width="38.140625" style="4" customWidth="1"/>
    <col min="14344" max="14344" width="15.85546875" style="4" customWidth="1"/>
    <col min="14345" max="14345" width="16.140625" style="4" customWidth="1"/>
    <col min="14346" max="14346" width="15.5703125" style="4" customWidth="1"/>
    <col min="14347" max="14347" width="15.85546875" style="4" customWidth="1"/>
    <col min="14348" max="14348" width="16.140625" style="4" customWidth="1"/>
    <col min="14349" max="14349" width="18" style="4" customWidth="1"/>
    <col min="14350" max="14353" width="17.42578125" style="4" customWidth="1"/>
    <col min="14354" max="14354" width="2" style="4" customWidth="1"/>
    <col min="14355" max="14593" width="11.42578125" style="4"/>
    <col min="14594" max="14594" width="1.5703125" style="4" customWidth="1"/>
    <col min="14595" max="14595" width="6.42578125" style="4" bestFit="1" customWidth="1"/>
    <col min="14596" max="14596" width="36.28515625" style="4" customWidth="1"/>
    <col min="14597" max="14597" width="4.28515625" style="4" bestFit="1" customWidth="1"/>
    <col min="14598" max="14598" width="6.5703125" style="4" customWidth="1"/>
    <col min="14599" max="14599" width="38.140625" style="4" customWidth="1"/>
    <col min="14600" max="14600" width="15.85546875" style="4" customWidth="1"/>
    <col min="14601" max="14601" width="16.140625" style="4" customWidth="1"/>
    <col min="14602" max="14602" width="15.5703125" style="4" customWidth="1"/>
    <col min="14603" max="14603" width="15.85546875" style="4" customWidth="1"/>
    <col min="14604" max="14604" width="16.140625" style="4" customWidth="1"/>
    <col min="14605" max="14605" width="18" style="4" customWidth="1"/>
    <col min="14606" max="14609" width="17.42578125" style="4" customWidth="1"/>
    <col min="14610" max="14610" width="2" style="4" customWidth="1"/>
    <col min="14611" max="14849" width="11.42578125" style="4"/>
    <col min="14850" max="14850" width="1.5703125" style="4" customWidth="1"/>
    <col min="14851" max="14851" width="6.42578125" style="4" bestFit="1" customWidth="1"/>
    <col min="14852" max="14852" width="36.28515625" style="4" customWidth="1"/>
    <col min="14853" max="14853" width="4.28515625" style="4" bestFit="1" customWidth="1"/>
    <col min="14854" max="14854" width="6.5703125" style="4" customWidth="1"/>
    <col min="14855" max="14855" width="38.140625" style="4" customWidth="1"/>
    <col min="14856" max="14856" width="15.85546875" style="4" customWidth="1"/>
    <col min="14857" max="14857" width="16.140625" style="4" customWidth="1"/>
    <col min="14858" max="14858" width="15.5703125" style="4" customWidth="1"/>
    <col min="14859" max="14859" width="15.85546875" style="4" customWidth="1"/>
    <col min="14860" max="14860" width="16.140625" style="4" customWidth="1"/>
    <col min="14861" max="14861" width="18" style="4" customWidth="1"/>
    <col min="14862" max="14865" width="17.42578125" style="4" customWidth="1"/>
    <col min="14866" max="14866" width="2" style="4" customWidth="1"/>
    <col min="14867" max="15105" width="11.42578125" style="4"/>
    <col min="15106" max="15106" width="1.5703125" style="4" customWidth="1"/>
    <col min="15107" max="15107" width="6.42578125" style="4" bestFit="1" customWidth="1"/>
    <col min="15108" max="15108" width="36.28515625" style="4" customWidth="1"/>
    <col min="15109" max="15109" width="4.28515625" style="4" bestFit="1" customWidth="1"/>
    <col min="15110" max="15110" width="6.5703125" style="4" customWidth="1"/>
    <col min="15111" max="15111" width="38.140625" style="4" customWidth="1"/>
    <col min="15112" max="15112" width="15.85546875" style="4" customWidth="1"/>
    <col min="15113" max="15113" width="16.140625" style="4" customWidth="1"/>
    <col min="15114" max="15114" width="15.5703125" style="4" customWidth="1"/>
    <col min="15115" max="15115" width="15.85546875" style="4" customWidth="1"/>
    <col min="15116" max="15116" width="16.140625" style="4" customWidth="1"/>
    <col min="15117" max="15117" width="18" style="4" customWidth="1"/>
    <col min="15118" max="15121" width="17.42578125" style="4" customWidth="1"/>
    <col min="15122" max="15122" width="2" style="4" customWidth="1"/>
    <col min="15123" max="15361" width="11.42578125" style="4"/>
    <col min="15362" max="15362" width="1.5703125" style="4" customWidth="1"/>
    <col min="15363" max="15363" width="6.42578125" style="4" bestFit="1" customWidth="1"/>
    <col min="15364" max="15364" width="36.28515625" style="4" customWidth="1"/>
    <col min="15365" max="15365" width="4.28515625" style="4" bestFit="1" customWidth="1"/>
    <col min="15366" max="15366" width="6.5703125" style="4" customWidth="1"/>
    <col min="15367" max="15367" width="38.140625" style="4" customWidth="1"/>
    <col min="15368" max="15368" width="15.85546875" style="4" customWidth="1"/>
    <col min="15369" max="15369" width="16.140625" style="4" customWidth="1"/>
    <col min="15370" max="15370" width="15.5703125" style="4" customWidth="1"/>
    <col min="15371" max="15371" width="15.85546875" style="4" customWidth="1"/>
    <col min="15372" max="15372" width="16.140625" style="4" customWidth="1"/>
    <col min="15373" max="15373" width="18" style="4" customWidth="1"/>
    <col min="15374" max="15377" width="17.42578125" style="4" customWidth="1"/>
    <col min="15378" max="15378" width="2" style="4" customWidth="1"/>
    <col min="15379" max="15617" width="11.42578125" style="4"/>
    <col min="15618" max="15618" width="1.5703125" style="4" customWidth="1"/>
    <col min="15619" max="15619" width="6.42578125" style="4" bestFit="1" customWidth="1"/>
    <col min="15620" max="15620" width="36.28515625" style="4" customWidth="1"/>
    <col min="15621" max="15621" width="4.28515625" style="4" bestFit="1" customWidth="1"/>
    <col min="15622" max="15622" width="6.5703125" style="4" customWidth="1"/>
    <col min="15623" max="15623" width="38.140625" style="4" customWidth="1"/>
    <col min="15624" max="15624" width="15.85546875" style="4" customWidth="1"/>
    <col min="15625" max="15625" width="16.140625" style="4" customWidth="1"/>
    <col min="15626" max="15626" width="15.5703125" style="4" customWidth="1"/>
    <col min="15627" max="15627" width="15.85546875" style="4" customWidth="1"/>
    <col min="15628" max="15628" width="16.140625" style="4" customWidth="1"/>
    <col min="15629" max="15629" width="18" style="4" customWidth="1"/>
    <col min="15630" max="15633" width="17.42578125" style="4" customWidth="1"/>
    <col min="15634" max="15634" width="2" style="4" customWidth="1"/>
    <col min="15635" max="15873" width="11.42578125" style="4"/>
    <col min="15874" max="15874" width="1.5703125" style="4" customWidth="1"/>
    <col min="15875" max="15875" width="6.42578125" style="4" bestFit="1" customWidth="1"/>
    <col min="15876" max="15876" width="36.28515625" style="4" customWidth="1"/>
    <col min="15877" max="15877" width="4.28515625" style="4" bestFit="1" customWidth="1"/>
    <col min="15878" max="15878" width="6.5703125" style="4" customWidth="1"/>
    <col min="15879" max="15879" width="38.140625" style="4" customWidth="1"/>
    <col min="15880" max="15880" width="15.85546875" style="4" customWidth="1"/>
    <col min="15881" max="15881" width="16.140625" style="4" customWidth="1"/>
    <col min="15882" max="15882" width="15.5703125" style="4" customWidth="1"/>
    <col min="15883" max="15883" width="15.85546875" style="4" customWidth="1"/>
    <col min="15884" max="15884" width="16.140625" style="4" customWidth="1"/>
    <col min="15885" max="15885" width="18" style="4" customWidth="1"/>
    <col min="15886" max="15889" width="17.42578125" style="4" customWidth="1"/>
    <col min="15890" max="15890" width="2" style="4" customWidth="1"/>
    <col min="15891" max="16129" width="11.42578125" style="4"/>
    <col min="16130" max="16130" width="1.5703125" style="4" customWidth="1"/>
    <col min="16131" max="16131" width="6.42578125" style="4" bestFit="1" customWidth="1"/>
    <col min="16132" max="16132" width="36.28515625" style="4" customWidth="1"/>
    <col min="16133" max="16133" width="4.28515625" style="4" bestFit="1" customWidth="1"/>
    <col min="16134" max="16134" width="6.5703125" style="4" customWidth="1"/>
    <col min="16135" max="16135" width="38.140625" style="4" customWidth="1"/>
    <col min="16136" max="16136" width="15.85546875" style="4" customWidth="1"/>
    <col min="16137" max="16137" width="16.140625" style="4" customWidth="1"/>
    <col min="16138" max="16138" width="15.5703125" style="4" customWidth="1"/>
    <col min="16139" max="16139" width="15.85546875" style="4" customWidth="1"/>
    <col min="16140" max="16140" width="16.140625" style="4" customWidth="1"/>
    <col min="16141" max="16141" width="18" style="4" customWidth="1"/>
    <col min="16142" max="16145" width="17.42578125" style="4" customWidth="1"/>
    <col min="16146" max="16146" width="2" style="4" customWidth="1"/>
    <col min="16147" max="16384" width="11.42578125" style="4"/>
  </cols>
  <sheetData>
    <row r="1" spans="1:18" ht="9" customHeight="1" thickBot="1" x14ac:dyDescent="0.25">
      <c r="A1" s="3"/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"/>
      <c r="Q1" s="3"/>
      <c r="R1" s="3"/>
    </row>
    <row r="2" spans="1:18" ht="27" thickBot="1" x14ac:dyDescent="0.25">
      <c r="A2" s="3"/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3" t="s">
        <v>116</v>
      </c>
      <c r="Q2" s="364"/>
      <c r="R2" s="3"/>
    </row>
    <row r="3" spans="1:18" ht="19.5" customHeight="1" thickBot="1" x14ac:dyDescent="0.3">
      <c r="A3" s="3"/>
      <c r="B3" s="120" t="str">
        <f>CONCATENATE("ÖkobilanzErgebnisse von ",Abfrage_Ergebnis!E13," % der Möbel")</f>
        <v>ÖkobilanzErgebnisse von  % der Möbel</v>
      </c>
      <c r="C3" s="1"/>
      <c r="D3" s="1"/>
      <c r="E3" s="1"/>
      <c r="F3" s="1"/>
      <c r="G3" s="365"/>
      <c r="H3" s="365"/>
      <c r="I3" s="5"/>
      <c r="J3" s="5"/>
      <c r="K3" s="5"/>
      <c r="L3" s="366" t="str">
        <f>IF(P2="CORE14","Reference period:","Betrachtungszeitraum:")</f>
        <v>Betrachtungszeitraum:</v>
      </c>
      <c r="M3" s="366"/>
      <c r="N3" s="6"/>
      <c r="O3" s="7"/>
      <c r="P3" s="119">
        <f>IF(OR(P2="NIR17-S",P2="NIR18-S"),5,IF(OR(P2="NIR18-BV/H/G",P2="NIR18-BV"),10,""))</f>
        <v>5</v>
      </c>
      <c r="Q3" s="8" t="str">
        <f>IF(P2="CORE14","Years","Jahre")</f>
        <v>Jahre</v>
      </c>
      <c r="R3" s="3"/>
    </row>
    <row r="4" spans="1:18" ht="38.25" x14ac:dyDescent="0.2">
      <c r="A4" s="3"/>
      <c r="B4" s="367"/>
      <c r="C4" s="368"/>
      <c r="D4" s="368"/>
      <c r="E4" s="368"/>
      <c r="F4" s="369"/>
      <c r="G4" s="9" t="str">
        <f>IF(P2="CORE14","Global Warming Potential","Treibhaus-
potenzial")</f>
        <v>Treibhaus-
potenzial</v>
      </c>
      <c r="H4" s="10" t="str">
        <f>IF(P2="CORE14","Ozone Depletion Potential","Ozonschicht-
abbaupotenzial")</f>
        <v>Ozonschicht-
abbaupotenzial</v>
      </c>
      <c r="I4" s="11" t="str">
        <f>IF(P2="CORE14","Photochemical Ozone Creation Potential","Ozonbildungs-
potenzial")</f>
        <v>Ozonbildungs-
potenzial</v>
      </c>
      <c r="J4" s="10" t="str">
        <f>IF(P2="CORE14","Acid Potential","Versauerungs-
potenzial")</f>
        <v>Versauerungs-
potenzial</v>
      </c>
      <c r="K4" s="10" t="str">
        <f>IF(P2="CORE14","Eutrophication Potential","Überdüngungs-
potenzial")</f>
        <v>Überdüngungs-
potenzial</v>
      </c>
      <c r="L4" s="10" t="str">
        <f>IF(P2="CORE14","Non-renewable primary energy demand","Nichterneuerbarer Primärenergiebedarf")</f>
        <v>Nichterneuerbarer Primärenergiebedarf</v>
      </c>
      <c r="M4" s="12" t="str">
        <f>IF(P2="CORE14","Total primary energy demand","Gesamtprimär-energiebedarf")</f>
        <v>Gesamtprimär-energiebedarf</v>
      </c>
      <c r="N4" s="12" t="str">
        <f>IF(Q2="CORE14","Renewable primary energy demand","Primärenergie erneuerbar")</f>
        <v>Primärenergie erneuerbar</v>
      </c>
      <c r="O4" s="10" t="str">
        <f>IF(P2="CORE14","Abiotic consumption of resources - Material","Abiotischer Ressourcenverbrauch - Stofflich")</f>
        <v>Abiotischer Ressourcenverbrauch - Stofflich</v>
      </c>
      <c r="P4" s="13" t="str">
        <f>IF(P2="CORE14","abiotic consumption of resources - Fossil","Abiotischer Ressourcenverbrauch - Fossil")</f>
        <v>Abiotischer Ressourcenverbrauch - Fossil</v>
      </c>
      <c r="Q4" s="14" t="str">
        <f>IF(P2="CORE14","Water Use","Wasserverbrauch")</f>
        <v>Wasserverbrauch</v>
      </c>
      <c r="R4" s="3"/>
    </row>
    <row r="5" spans="1:18" ht="13.5" thickBot="1" x14ac:dyDescent="0.25">
      <c r="A5" s="3"/>
      <c r="B5" s="370"/>
      <c r="C5" s="371"/>
      <c r="D5" s="371"/>
      <c r="E5" s="371"/>
      <c r="F5" s="372"/>
      <c r="G5" s="15" t="s">
        <v>61</v>
      </c>
      <c r="H5" s="15" t="s">
        <v>62</v>
      </c>
      <c r="I5" s="16" t="s">
        <v>63</v>
      </c>
      <c r="J5" s="15" t="s">
        <v>64</v>
      </c>
      <c r="K5" s="15" t="s">
        <v>65</v>
      </c>
      <c r="L5" s="17" t="s">
        <v>66</v>
      </c>
      <c r="M5" s="17" t="s">
        <v>67</v>
      </c>
      <c r="N5" s="17" t="s">
        <v>68</v>
      </c>
      <c r="O5" s="18" t="s">
        <v>69</v>
      </c>
      <c r="P5" s="17" t="s">
        <v>70</v>
      </c>
      <c r="Q5" s="17" t="s">
        <v>71</v>
      </c>
      <c r="R5" s="3"/>
    </row>
    <row r="6" spans="1:18" ht="13.5" thickBot="1" x14ac:dyDescent="0.25">
      <c r="A6" s="3"/>
      <c r="B6" s="373" t="str">
        <f>IF(P2="CORE14","Unit","Einheit")</f>
        <v>Einheit</v>
      </c>
      <c r="C6" s="373"/>
      <c r="D6" s="373"/>
      <c r="E6" s="373"/>
      <c r="F6" s="373"/>
      <c r="G6" s="19" t="str">
        <f>IF($P$2="CORE14","[(m²NFAa*a)]","[kg/(m²NGF*a)]")</f>
        <v>[kg/(m²NGF*a)]</v>
      </c>
      <c r="H6" s="19" t="str">
        <f t="shared" ref="H6:K6" si="0">IF($P$2="CORE14","[(m²NFAa*a)]","[kg/(m²NGF*a)]")</f>
        <v>[kg/(m²NGF*a)]</v>
      </c>
      <c r="I6" s="19" t="str">
        <f t="shared" si="0"/>
        <v>[kg/(m²NGF*a)]</v>
      </c>
      <c r="J6" s="19" t="str">
        <f t="shared" si="0"/>
        <v>[kg/(m²NGF*a)]</v>
      </c>
      <c r="K6" s="19" t="str">
        <f t="shared" si="0"/>
        <v>[kg/(m²NGF*a)]</v>
      </c>
      <c r="L6" s="19" t="str">
        <f>IF($P$2="CORE14","[MJ/m²NFA*a]","[MJ/m²NGF*a]")</f>
        <v>[MJ/m²NGF*a]</v>
      </c>
      <c r="M6" s="19" t="str">
        <f>IF($P$2="CORE14","[MJ/m²NFA*a]","[MJ/m²NGF*a]")</f>
        <v>[MJ/m²NGF*a]</v>
      </c>
      <c r="N6" s="19" t="str">
        <f>IF($P$2="CORE14","[MJ/m²NFA*a]","[MJ/m²NGF*a]")</f>
        <v>[MJ/m²NGF*a]</v>
      </c>
      <c r="O6" s="20" t="s">
        <v>72</v>
      </c>
      <c r="P6" s="19" t="s">
        <v>73</v>
      </c>
      <c r="Q6" s="19" t="s">
        <v>74</v>
      </c>
      <c r="R6" s="3"/>
    </row>
    <row r="7" spans="1:18" ht="20.25" hidden="1" customHeight="1" outlineLevel="1" thickTop="1" thickBot="1" x14ac:dyDescent="0.25">
      <c r="A7" s="3"/>
      <c r="B7" s="374" t="str">
        <f>IF(P2="CORE14","Reference Building","Referenzgebäude")</f>
        <v>Referenzgebäude</v>
      </c>
      <c r="C7" s="21" t="str">
        <f>IF($P$2="CORE14","Whole Life Cycle","Gesamter Lebenszyklus")</f>
        <v>Gesamter Lebenszyklus</v>
      </c>
      <c r="D7" s="22" t="s">
        <v>75</v>
      </c>
      <c r="E7" s="23" t="str">
        <f>IF($P$2="CORE14","Tref","Gref")</f>
        <v>Gref</v>
      </c>
      <c r="F7" s="23" t="str">
        <f>IF(P2="CORE14","Total Value (C+U)","Gesamtwert (K+N)")</f>
        <v>Gesamtwert (K+N)</v>
      </c>
      <c r="G7" s="24" t="e">
        <f>G8+G13</f>
        <v>#N/A</v>
      </c>
      <c r="H7" s="24" t="e">
        <f t="shared" ref="H7:M7" si="1">H8+H13</f>
        <v>#N/A</v>
      </c>
      <c r="I7" s="24" t="e">
        <f t="shared" si="1"/>
        <v>#N/A</v>
      </c>
      <c r="J7" s="24" t="e">
        <f t="shared" si="1"/>
        <v>#N/A</v>
      </c>
      <c r="K7" s="24" t="e">
        <f t="shared" si="1"/>
        <v>#N/A</v>
      </c>
      <c r="L7" s="24" t="e">
        <f t="shared" si="1"/>
        <v>#N/A</v>
      </c>
      <c r="M7" s="24" t="e">
        <f t="shared" si="1"/>
        <v>#N/A</v>
      </c>
      <c r="N7" s="25"/>
      <c r="O7" s="26"/>
      <c r="P7" s="27"/>
      <c r="Q7" s="27"/>
      <c r="R7" s="3"/>
    </row>
    <row r="8" spans="1:18" ht="15" hidden="1" customHeight="1" outlineLevel="1" x14ac:dyDescent="0.2">
      <c r="A8" s="3"/>
      <c r="B8" s="375"/>
      <c r="C8" s="28" t="str">
        <f>IF(P2="CORE14","Production","Produktion")</f>
        <v>Produktion</v>
      </c>
      <c r="D8" s="29" t="s">
        <v>76</v>
      </c>
      <c r="E8" s="376" t="str">
        <f>IF(P2="CORE14","Cref","Kef")</f>
        <v>Kef</v>
      </c>
      <c r="F8" s="379" t="str">
        <f>IF(P2="CORE14","Manufacture, maintenance and disposal","Herstellung, Instandhaltung und Entsorgung")</f>
        <v>Herstellung, Instandhaltung und Entsorgung</v>
      </c>
      <c r="G8" s="324" t="e">
        <f>IF(AND(OR(P2=[2]Construction!B18,P2=[2]Construction!B19,P2=[2]Construction!B20,P2=[2]Construction!B21),F51="BRI [m³]"),VLOOKUP($P$2,[2]Construction!B25:I28,2,FALSE),VLOOKUP($P$2,[2]Construction!$B$3:$I$24,2,FALSE))</f>
        <v>#N/A</v>
      </c>
      <c r="H8" s="324" t="e">
        <f>IF(AND(OR(P2=[2]Construction!B18,P2=[2]Construction!B19,P2=[2]Construction!B20,P2=[2]Construction!B21),F51="BRI [m³]"),VLOOKUP($P$2,[2]Construction!B25:I28,3,FALSE),VLOOKUP($P$2,[2]Construction!$B$3:$I$24,3,FALSE))</f>
        <v>#N/A</v>
      </c>
      <c r="I8" s="324" t="e">
        <f>IF(AND(OR(P2=[2]Construction!B18,P2=[2]Construction!B19,P2=[2]Construction!B20,P2=[2]Construction!B21),F51="BRI [m³]"),VLOOKUP($P$2,[2]Construction!B25:I28,4,FALSE),VLOOKUP($P$2,[2]Construction!$B$3:$I$24,4,FALSE))</f>
        <v>#N/A</v>
      </c>
      <c r="J8" s="324" t="e">
        <f>IF(AND(OR(P2=[2]Construction!B18,P2=[2]Construction!B19,P2=[2]Construction!B20,P2=[2]Construction!B21),F51="BRI [m³]"),VLOOKUP($P$2,[2]Construction!B25:I28,5,FALSE),VLOOKUP($P$2,[2]Construction!$B$3:$I$24,5,FALSE))</f>
        <v>#N/A</v>
      </c>
      <c r="K8" s="324" t="e">
        <f>IF(AND(OR(P2=[2]Construction!B18,P2=[2]Construction!B19,P2=[2]Construction!B20,P2=[2]Construction!B21),F51="BRI [m³]"),VLOOKUP($P$2,[2]Construction!B25:I28,6,FALSE),VLOOKUP($P$2,[2]Construction!$B$3:$I$24,6,FALSE))</f>
        <v>#N/A</v>
      </c>
      <c r="L8" s="324" t="e">
        <f>IF(AND(OR(P2=[2]Construction!B18,P2=[2]Construction!B19,P2=[2]Construction!B20,P2=[2]Construction!B21),F51="BRI [m³]"),VLOOKUP($P$2,[2]Construction!B25:I28,7,FALSE),VLOOKUP($P$2,[2]Construction!$B$3:$I$24,7,FALSE))</f>
        <v>#N/A</v>
      </c>
      <c r="M8" s="324" t="e">
        <f>IF(AND(OR(P2=[2]Construction!B18,P2=[2]Construction!B19,P2=[2]Construction!B20,P2=[2]Construction!B21),F51="BRI [m³]"),VLOOKUP($P$2,[2]Construction!B25:I28,8,FALSE),VLOOKUP($P$2,[2]Construction!$B$3:$I$24,8,FALSE))</f>
        <v>#N/A</v>
      </c>
      <c r="N8" s="30"/>
      <c r="O8" s="327" t="str">
        <f>IF($P$2="CORE14","undeclared","nicht deklariert")</f>
        <v>nicht deklariert</v>
      </c>
      <c r="P8" s="327" t="str">
        <f>IF($P$2="CORE14","undeclared","nicht deklariert")</f>
        <v>nicht deklariert</v>
      </c>
      <c r="Q8" s="327" t="str">
        <f>IF($P$2="CORE14","undeclared","nicht deklariert")</f>
        <v>nicht deklariert</v>
      </c>
      <c r="R8" s="3"/>
    </row>
    <row r="9" spans="1:18" ht="15" hidden="1" customHeight="1" outlineLevel="1" x14ac:dyDescent="0.2">
      <c r="A9" s="3"/>
      <c r="B9" s="375"/>
      <c r="C9" s="31" t="str">
        <f>IF(P2="CORE14","Maintenance","Instandhaltung")</f>
        <v>Instandhaltung</v>
      </c>
      <c r="D9" s="32" t="s">
        <v>77</v>
      </c>
      <c r="E9" s="377"/>
      <c r="F9" s="380"/>
      <c r="G9" s="325"/>
      <c r="H9" s="325"/>
      <c r="I9" s="325"/>
      <c r="J9" s="325"/>
      <c r="K9" s="325"/>
      <c r="L9" s="325"/>
      <c r="M9" s="325"/>
      <c r="N9" s="33"/>
      <c r="O9" s="328"/>
      <c r="P9" s="328"/>
      <c r="Q9" s="328"/>
      <c r="R9" s="3"/>
    </row>
    <row r="10" spans="1:18" ht="59.25" hidden="1" customHeight="1" outlineLevel="1" x14ac:dyDescent="0.2">
      <c r="A10" s="3"/>
      <c r="B10" s="375"/>
      <c r="C10" s="34" t="str">
        <f>IF(P2="CORE14","Waste treatment for reuse, recovery and / or recycling","Abfallbehandlung zur Wiederverwendung, Rückgewinnung und/ oder Recycling")</f>
        <v>Abfallbehandlung zur Wiederverwendung, Rückgewinnung und/ oder Recycling</v>
      </c>
      <c r="D10" s="32" t="s">
        <v>78</v>
      </c>
      <c r="E10" s="377"/>
      <c r="F10" s="380"/>
      <c r="G10" s="325"/>
      <c r="H10" s="325"/>
      <c r="I10" s="325"/>
      <c r="J10" s="325"/>
      <c r="K10" s="325"/>
      <c r="L10" s="325"/>
      <c r="M10" s="325"/>
      <c r="N10" s="33"/>
      <c r="O10" s="328"/>
      <c r="P10" s="328"/>
      <c r="Q10" s="328"/>
      <c r="R10" s="3"/>
    </row>
    <row r="11" spans="1:18" ht="15" hidden="1" customHeight="1" outlineLevel="1" x14ac:dyDescent="0.2">
      <c r="A11" s="3"/>
      <c r="B11" s="375"/>
      <c r="C11" s="31" t="str">
        <f>IF(P2="CORE14","Disposal","Deponierung")</f>
        <v>Deponierung</v>
      </c>
      <c r="D11" s="32" t="s">
        <v>79</v>
      </c>
      <c r="E11" s="377"/>
      <c r="F11" s="380"/>
      <c r="G11" s="325"/>
      <c r="H11" s="325"/>
      <c r="I11" s="325"/>
      <c r="J11" s="325"/>
      <c r="K11" s="325"/>
      <c r="L11" s="325"/>
      <c r="M11" s="325"/>
      <c r="N11" s="33"/>
      <c r="O11" s="328"/>
      <c r="P11" s="328"/>
      <c r="Q11" s="328"/>
      <c r="R11" s="3"/>
    </row>
    <row r="12" spans="1:18" ht="33" hidden="1" customHeight="1" outlineLevel="1" thickBot="1" x14ac:dyDescent="0.25">
      <c r="A12" s="3"/>
      <c r="B12" s="375"/>
      <c r="C12" s="35" t="str">
        <f>IF(P2="CORE14","Credits and charges outside the System boundary","Gutschriften und Lasten außerhalb der Systemgrenze")</f>
        <v>Gutschriften und Lasten außerhalb der Systemgrenze</v>
      </c>
      <c r="D12" s="36" t="s">
        <v>80</v>
      </c>
      <c r="E12" s="378"/>
      <c r="F12" s="381"/>
      <c r="G12" s="326"/>
      <c r="H12" s="326"/>
      <c r="I12" s="326"/>
      <c r="J12" s="326"/>
      <c r="K12" s="326"/>
      <c r="L12" s="326"/>
      <c r="M12" s="326"/>
      <c r="N12" s="37"/>
      <c r="O12" s="329"/>
      <c r="P12" s="329"/>
      <c r="Q12" s="329"/>
      <c r="R12" s="3"/>
    </row>
    <row r="13" spans="1:18" ht="15.75" hidden="1" outlineLevel="1" x14ac:dyDescent="0.2">
      <c r="A13" s="3"/>
      <c r="B13" s="375"/>
      <c r="C13" s="382" t="str">
        <f>IF(P2="CORE14","Energy input for the operation of the building","Energieeinsatz für das Betreiben des Gebäudes")</f>
        <v>Energieeinsatz für das Betreiben des Gebäudes</v>
      </c>
      <c r="D13" s="384" t="s">
        <v>81</v>
      </c>
      <c r="E13" s="38" t="str">
        <f>IF(P2="CORE14","Uref","Nref")</f>
        <v>Nref</v>
      </c>
      <c r="F13" s="38" t="str">
        <f>IF(P2="CORE14","Operation","Betrieb")</f>
        <v>Betrieb</v>
      </c>
      <c r="G13" s="39" t="e">
        <f t="shared" ref="G13:M13" si="2">SUM(G14:G16)</f>
        <v>#N/A</v>
      </c>
      <c r="H13" s="39" t="e">
        <f t="shared" si="2"/>
        <v>#N/A</v>
      </c>
      <c r="I13" s="39" t="e">
        <f t="shared" si="2"/>
        <v>#N/A</v>
      </c>
      <c r="J13" s="39" t="e">
        <f t="shared" si="2"/>
        <v>#N/A</v>
      </c>
      <c r="K13" s="39" t="e">
        <f t="shared" si="2"/>
        <v>#N/A</v>
      </c>
      <c r="L13" s="39" t="e">
        <f t="shared" si="2"/>
        <v>#N/A</v>
      </c>
      <c r="M13" s="39" t="e">
        <f t="shared" si="2"/>
        <v>#N/A</v>
      </c>
      <c r="N13" s="39"/>
      <c r="O13" s="40" t="str">
        <f>IF($P$2="CORE14","undeclared","nicht deklariert")</f>
        <v>nicht deklariert</v>
      </c>
      <c r="P13" s="40" t="str">
        <f>IF($P$2="CORE14","undeclared","nicht deklariert")</f>
        <v>nicht deklariert</v>
      </c>
      <c r="Q13" s="40" t="str">
        <f>IF($P$2="CORE14","undeclared","nicht deklariert")</f>
        <v>nicht deklariert</v>
      </c>
      <c r="R13" s="3"/>
    </row>
    <row r="14" spans="1:18" ht="12.75" hidden="1" customHeight="1" outlineLevel="1" x14ac:dyDescent="0.2">
      <c r="A14" s="3"/>
      <c r="B14" s="375"/>
      <c r="C14" s="383"/>
      <c r="D14" s="385"/>
      <c r="E14" s="41" t="str">
        <f>IF(P2="CORE14","Uelref","Nsref")</f>
        <v>Nsref</v>
      </c>
      <c r="F14" s="42" t="str">
        <f>IF(P2="CORE14","Electricity demand","Strombedarf")</f>
        <v>Strombedarf</v>
      </c>
      <c r="G14" s="43" t="e">
        <f>IF($F$65="kWh/m²a",$F$66*G76*$G$79,$F$66/$F$52*G76)</f>
        <v>#N/A</v>
      </c>
      <c r="H14" s="43" t="e">
        <f t="shared" ref="H14:M14" si="3">IF($F$65="kWh/m²a",$F$66*H76*$G$79,$F$66/$F$52*H76)</f>
        <v>#N/A</v>
      </c>
      <c r="I14" s="43" t="e">
        <f t="shared" si="3"/>
        <v>#N/A</v>
      </c>
      <c r="J14" s="43" t="e">
        <f t="shared" si="3"/>
        <v>#N/A</v>
      </c>
      <c r="K14" s="43" t="e">
        <f t="shared" si="3"/>
        <v>#N/A</v>
      </c>
      <c r="L14" s="43" t="e">
        <f t="shared" si="3"/>
        <v>#N/A</v>
      </c>
      <c r="M14" s="43" t="e">
        <f t="shared" si="3"/>
        <v>#N/A</v>
      </c>
      <c r="N14" s="43"/>
      <c r="O14" s="44"/>
      <c r="P14" s="44"/>
      <c r="Q14" s="44"/>
      <c r="R14" s="3"/>
    </row>
    <row r="15" spans="1:18" ht="12.75" hidden="1" customHeight="1" outlineLevel="1" x14ac:dyDescent="0.2">
      <c r="A15" s="3"/>
      <c r="B15" s="375"/>
      <c r="C15" s="383"/>
      <c r="D15" s="385"/>
      <c r="E15" s="45" t="str">
        <f>IF(P2="CORE14","Uhref","Nwref")</f>
        <v>Nwref</v>
      </c>
      <c r="F15" s="46" t="str">
        <f>IF(P2="CORE14","Heat demand","Wärmebedarf")</f>
        <v>Wärmebedarf</v>
      </c>
      <c r="G15" s="47" t="e">
        <f t="shared" ref="G15:M15" si="4">IF($F$65="kWh/m²a",$F$67*$G$79*G77,$F$67/$F$52*G77)</f>
        <v>#DIV/0!</v>
      </c>
      <c r="H15" s="47" t="e">
        <f t="shared" si="4"/>
        <v>#DIV/0!</v>
      </c>
      <c r="I15" s="47" t="e">
        <f t="shared" si="4"/>
        <v>#DIV/0!</v>
      </c>
      <c r="J15" s="47" t="e">
        <f t="shared" si="4"/>
        <v>#DIV/0!</v>
      </c>
      <c r="K15" s="47" t="e">
        <f t="shared" si="4"/>
        <v>#DIV/0!</v>
      </c>
      <c r="L15" s="47" t="e">
        <f t="shared" si="4"/>
        <v>#DIV/0!</v>
      </c>
      <c r="M15" s="47" t="e">
        <f t="shared" si="4"/>
        <v>#DIV/0!</v>
      </c>
      <c r="N15" s="47"/>
      <c r="O15" s="44"/>
      <c r="P15" s="44"/>
      <c r="Q15" s="44"/>
      <c r="R15" s="3"/>
    </row>
    <row r="16" spans="1:18" ht="13.5" hidden="1" customHeight="1" outlineLevel="1" thickBot="1" x14ac:dyDescent="0.25">
      <c r="A16" s="3"/>
      <c r="B16" s="375"/>
      <c r="C16" s="383"/>
      <c r="D16" s="385"/>
      <c r="E16" s="45" t="str">
        <f>IF(P2="CORE14","","Naref")</f>
        <v>Naref</v>
      </c>
      <c r="F16" s="48" t="str">
        <f>IF(P2="CORE14","undeclared","Strom- und Wärmebedarf Nutzerausstattung")</f>
        <v>Strom- und Wärmebedarf Nutzerausstattung</v>
      </c>
      <c r="G16" s="49"/>
      <c r="H16" s="49"/>
      <c r="I16" s="49"/>
      <c r="J16" s="49"/>
      <c r="K16" s="49"/>
      <c r="L16" s="49"/>
      <c r="M16" s="50"/>
      <c r="N16" s="50"/>
      <c r="O16" s="44"/>
      <c r="P16" s="44"/>
      <c r="Q16" s="44"/>
      <c r="R16" s="3"/>
    </row>
    <row r="17" spans="1:18" ht="22.5" customHeight="1" collapsed="1" thickTop="1" thickBot="1" x14ac:dyDescent="0.25">
      <c r="A17" s="3"/>
      <c r="B17" s="330" t="str">
        <f>IF(P2="CORE14","Design Building","Ist- Gebäude")</f>
        <v>Ist- Gebäude</v>
      </c>
      <c r="C17" s="51" t="str">
        <f>IF($P$2="CORE14","Whole Life Cycle","Gesamter Lebenszyklus")</f>
        <v>Gesamter Lebenszyklus</v>
      </c>
      <c r="D17" s="52" t="s">
        <v>75</v>
      </c>
      <c r="E17" s="53" t="str">
        <f>IF($P$2="CORE14","Tref","Gref")</f>
        <v>Gref</v>
      </c>
      <c r="F17" s="53" t="str">
        <f>IF(P2="CORE14","Total Value (C+U)","Gesamtwert (K+N)")</f>
        <v>Gesamtwert (K+N)</v>
      </c>
      <c r="G17" s="54" t="str">
        <f t="shared" ref="G17:Q17" si="5">IFERROR(G18+G32+G36+G43+G46,"")</f>
        <v/>
      </c>
      <c r="H17" s="54" t="str">
        <f t="shared" si="5"/>
        <v/>
      </c>
      <c r="I17" s="54" t="str">
        <f t="shared" si="5"/>
        <v/>
      </c>
      <c r="J17" s="54" t="str">
        <f t="shared" si="5"/>
        <v/>
      </c>
      <c r="K17" s="54" t="str">
        <f t="shared" si="5"/>
        <v/>
      </c>
      <c r="L17" s="54" t="str">
        <f t="shared" si="5"/>
        <v/>
      </c>
      <c r="M17" s="54" t="str">
        <f t="shared" si="5"/>
        <v/>
      </c>
      <c r="N17" s="54" t="str">
        <f t="shared" si="5"/>
        <v/>
      </c>
      <c r="O17" s="54" t="str">
        <f t="shared" si="5"/>
        <v/>
      </c>
      <c r="P17" s="54" t="str">
        <f t="shared" si="5"/>
        <v/>
      </c>
      <c r="Q17" s="54" t="str">
        <f t="shared" si="5"/>
        <v/>
      </c>
      <c r="R17" s="3"/>
    </row>
    <row r="18" spans="1:18" ht="46.5" customHeight="1" thickTop="1" x14ac:dyDescent="0.2">
      <c r="A18" s="3"/>
      <c r="B18" s="331"/>
      <c r="C18" s="332" t="str">
        <f>IF(P2="CORE14","Production","Produktion")</f>
        <v>Produktion</v>
      </c>
      <c r="D18" s="55" t="s">
        <v>82</v>
      </c>
      <c r="E18" s="335" t="str">
        <f>IF(P2="CORE14","Raw material production
Transport to the manufacturer
Manufacture",
"Rohstoffgewinnung
Transport zum Hersteller
Herstellung")</f>
        <v>Rohstoffgewinnung
Transport zum Hersteller
Herstellung</v>
      </c>
      <c r="F18" s="336"/>
      <c r="G18" s="56">
        <f>SUM(G19:G28)</f>
        <v>0</v>
      </c>
      <c r="H18" s="56">
        <f>SUM(H19:H28)</f>
        <v>0</v>
      </c>
      <c r="I18" s="56">
        <f t="shared" ref="I18:Q18" si="6">SUM(I19:I28)</f>
        <v>0</v>
      </c>
      <c r="J18" s="56">
        <f t="shared" si="6"/>
        <v>0</v>
      </c>
      <c r="K18" s="56">
        <f t="shared" si="6"/>
        <v>0</v>
      </c>
      <c r="L18" s="56">
        <f t="shared" si="6"/>
        <v>0</v>
      </c>
      <c r="M18" s="56">
        <f t="shared" si="6"/>
        <v>0</v>
      </c>
      <c r="N18" s="56">
        <f t="shared" si="6"/>
        <v>0</v>
      </c>
      <c r="O18" s="56">
        <f t="shared" si="6"/>
        <v>0</v>
      </c>
      <c r="P18" s="56">
        <f t="shared" si="6"/>
        <v>0</v>
      </c>
      <c r="Q18" s="56">
        <f t="shared" si="6"/>
        <v>0</v>
      </c>
      <c r="R18" s="3"/>
    </row>
    <row r="19" spans="1:18" s="64" customFormat="1" ht="12" hidden="1" customHeight="1" outlineLevel="1" x14ac:dyDescent="0.2">
      <c r="A19" s="57"/>
      <c r="B19" s="331"/>
      <c r="C19" s="333"/>
      <c r="D19" s="58"/>
      <c r="E19" s="59" t="str">
        <f>IF(P2="CORE14","CG310","KG 310")</f>
        <v>KG 310</v>
      </c>
      <c r="F19" s="60" t="str">
        <f>IF(P2="CORE14","Excavation","Baugrube")</f>
        <v>Baugrube</v>
      </c>
      <c r="G19" s="61"/>
      <c r="H19" s="61"/>
      <c r="I19" s="61"/>
      <c r="J19" s="61"/>
      <c r="K19" s="61"/>
      <c r="L19" s="61"/>
      <c r="M19" s="62"/>
      <c r="N19" s="62"/>
      <c r="O19" s="61"/>
      <c r="P19" s="63"/>
      <c r="Q19" s="61"/>
      <c r="R19" s="57"/>
    </row>
    <row r="20" spans="1:18" s="64" customFormat="1" ht="12" hidden="1" customHeight="1" outlineLevel="1" x14ac:dyDescent="0.2">
      <c r="A20" s="57"/>
      <c r="B20" s="331"/>
      <c r="C20" s="333"/>
      <c r="D20" s="58"/>
      <c r="E20" s="59" t="str">
        <f>IF(P2="CORE14","CG320","KG 320")</f>
        <v>KG 320</v>
      </c>
      <c r="F20" s="60" t="str">
        <f>IF(P2="CORE14","Foundation","Gründung")</f>
        <v>Gründung</v>
      </c>
      <c r="G20" s="61"/>
      <c r="H20" s="61"/>
      <c r="I20" s="61"/>
      <c r="J20" s="61"/>
      <c r="K20" s="61"/>
      <c r="L20" s="61"/>
      <c r="M20" s="62"/>
      <c r="N20" s="62"/>
      <c r="O20" s="61"/>
      <c r="P20" s="63"/>
      <c r="Q20" s="61"/>
      <c r="R20" s="57"/>
    </row>
    <row r="21" spans="1:18" s="64" customFormat="1" ht="12" hidden="1" customHeight="1" outlineLevel="1" x14ac:dyDescent="0.2">
      <c r="A21" s="57"/>
      <c r="B21" s="331"/>
      <c r="C21" s="333"/>
      <c r="D21" s="58"/>
      <c r="E21" s="59" t="str">
        <f>IF(P2="CORE14","CG330","KG 330")</f>
        <v>KG 330</v>
      </c>
      <c r="F21" s="65" t="str">
        <f>IF(P2="CORE14","Outer walls","Außenwände")</f>
        <v>Außenwände</v>
      </c>
      <c r="G21" s="61"/>
      <c r="H21" s="61"/>
      <c r="I21" s="61"/>
      <c r="J21" s="61"/>
      <c r="K21" s="61"/>
      <c r="L21" s="61"/>
      <c r="M21" s="62"/>
      <c r="N21" s="62"/>
      <c r="O21" s="61"/>
      <c r="P21" s="63"/>
      <c r="Q21" s="61"/>
      <c r="R21" s="57"/>
    </row>
    <row r="22" spans="1:18" s="64" customFormat="1" ht="12" customHeight="1" collapsed="1" x14ac:dyDescent="0.2">
      <c r="A22" s="57"/>
      <c r="B22" s="331"/>
      <c r="C22" s="333"/>
      <c r="D22" s="58"/>
      <c r="E22" s="59" t="str">
        <f>IF(P2="CORE14","CG340","KG 340")</f>
        <v>KG 340</v>
      </c>
      <c r="F22" s="60" t="str">
        <f>IF(P2="CORE14","Internal walls","Innenwände")</f>
        <v>Innenwände</v>
      </c>
      <c r="G22" s="61"/>
      <c r="H22" s="61"/>
      <c r="I22" s="61"/>
      <c r="J22" s="61"/>
      <c r="K22" s="61"/>
      <c r="L22" s="61"/>
      <c r="M22" s="62"/>
      <c r="N22" s="62"/>
      <c r="O22" s="61"/>
      <c r="P22" s="63"/>
      <c r="Q22" s="61"/>
      <c r="R22" s="57"/>
    </row>
    <row r="23" spans="1:18" s="64" customFormat="1" ht="12" customHeight="1" x14ac:dyDescent="0.2">
      <c r="A23" s="57"/>
      <c r="B23" s="331"/>
      <c r="C23" s="333"/>
      <c r="D23" s="58"/>
      <c r="E23" s="59" t="str">
        <f>IF(P1="CORE14","CG350","KG 350")</f>
        <v>KG 350</v>
      </c>
      <c r="F23" s="60" t="str">
        <f>IF(P1="CORE14","Ceilings","Decken")</f>
        <v>Decken</v>
      </c>
      <c r="G23" s="61"/>
      <c r="H23" s="61"/>
      <c r="I23" s="61"/>
      <c r="J23" s="61"/>
      <c r="K23" s="61"/>
      <c r="L23" s="61"/>
      <c r="M23" s="62"/>
      <c r="N23" s="62"/>
      <c r="O23" s="61"/>
      <c r="P23" s="63"/>
      <c r="Q23" s="61"/>
      <c r="R23" s="57"/>
    </row>
    <row r="24" spans="1:18" s="64" customFormat="1" ht="12" customHeight="1" thickBot="1" x14ac:dyDescent="0.25">
      <c r="A24" s="57"/>
      <c r="B24" s="331"/>
      <c r="C24" s="333"/>
      <c r="D24" s="58"/>
      <c r="E24" s="59" t="str">
        <f>IF(P2="CORE14","CG350","KG 610")</f>
        <v>KG 610</v>
      </c>
      <c r="F24" s="60" t="str">
        <f>IF(P2="CORE14","Ceilings","Ausstattung")</f>
        <v>Ausstattung</v>
      </c>
      <c r="G24" s="61"/>
      <c r="H24" s="61"/>
      <c r="I24" s="61"/>
      <c r="J24" s="61"/>
      <c r="K24" s="61"/>
      <c r="L24" s="61"/>
      <c r="M24" s="62"/>
      <c r="N24" s="62"/>
      <c r="O24" s="61"/>
      <c r="P24" s="63"/>
      <c r="Q24" s="61"/>
      <c r="R24" s="57"/>
    </row>
    <row r="25" spans="1:18" s="64" customFormat="1" ht="12" hidden="1" customHeight="1" outlineLevel="1" x14ac:dyDescent="0.2">
      <c r="A25" s="57"/>
      <c r="B25" s="331"/>
      <c r="C25" s="333"/>
      <c r="D25" s="58"/>
      <c r="E25" s="59" t="str">
        <f>IF(P2="CORE14","CG360","KG 360")</f>
        <v>KG 360</v>
      </c>
      <c r="F25" s="60" t="str">
        <f>IF(P2="CORE14","Roofs","Dächer")</f>
        <v>Dächer</v>
      </c>
      <c r="G25" s="61"/>
      <c r="H25" s="61"/>
      <c r="I25" s="61"/>
      <c r="J25" s="61"/>
      <c r="K25" s="61"/>
      <c r="L25" s="61"/>
      <c r="M25" s="62"/>
      <c r="N25" s="62"/>
      <c r="O25" s="61"/>
      <c r="P25" s="63"/>
      <c r="Q25" s="61"/>
      <c r="R25" s="57"/>
    </row>
    <row r="26" spans="1:18" s="64" customFormat="1" ht="12" hidden="1" customHeight="1" outlineLevel="1" x14ac:dyDescent="0.2">
      <c r="A26" s="57"/>
      <c r="B26" s="331"/>
      <c r="C26" s="333"/>
      <c r="D26" s="58"/>
      <c r="E26" s="59" t="str">
        <f>IF(P2="CORE14","CG370","KG 370")</f>
        <v>KG 370</v>
      </c>
      <c r="F26" s="60" t="str">
        <f>IF(P2="CORE14","Building constructions","Baukonstruktive Einbauten")</f>
        <v>Baukonstruktive Einbauten</v>
      </c>
      <c r="G26" s="61"/>
      <c r="H26" s="61"/>
      <c r="I26" s="61"/>
      <c r="J26" s="61"/>
      <c r="K26" s="61"/>
      <c r="L26" s="61"/>
      <c r="M26" s="62"/>
      <c r="N26" s="62"/>
      <c r="O26" s="61"/>
      <c r="P26" s="63"/>
      <c r="Q26" s="61"/>
      <c r="R26" s="57"/>
    </row>
    <row r="27" spans="1:18" s="64" customFormat="1" ht="12" hidden="1" customHeight="1" outlineLevel="1" x14ac:dyDescent="0.2">
      <c r="A27" s="57"/>
      <c r="B27" s="331"/>
      <c r="C27" s="333"/>
      <c r="D27" s="58"/>
      <c r="E27" s="59" t="str">
        <f>IF(P2="CORE14","CG390","KG 390")</f>
        <v>KG 390</v>
      </c>
      <c r="F27" s="60" t="str">
        <f>IF(P2="CORE14","Other measures for building construction","Sonst. Maßnahmen für Baukonstruktion")</f>
        <v>Sonst. Maßnahmen für Baukonstruktion</v>
      </c>
      <c r="G27" s="61"/>
      <c r="H27" s="61"/>
      <c r="I27" s="61"/>
      <c r="J27" s="61"/>
      <c r="K27" s="61"/>
      <c r="L27" s="61"/>
      <c r="M27" s="62"/>
      <c r="N27" s="62"/>
      <c r="O27" s="61"/>
      <c r="P27" s="63"/>
      <c r="Q27" s="61"/>
      <c r="R27" s="57"/>
    </row>
    <row r="28" spans="1:18" s="64" customFormat="1" ht="12.75" hidden="1" customHeight="1" outlineLevel="1" thickBot="1" x14ac:dyDescent="0.25">
      <c r="A28" s="57"/>
      <c r="B28" s="331"/>
      <c r="C28" s="334"/>
      <c r="D28" s="66"/>
      <c r="E28" s="67" t="str">
        <f>IF(P2="CORE14","CG400","KG 400")</f>
        <v>KG 400</v>
      </c>
      <c r="F28" s="68" t="str">
        <f>IF(P2="CORE14","Building-technical installations","Bauwerk-Technische Anlagen")</f>
        <v>Bauwerk-Technische Anlagen</v>
      </c>
      <c r="G28" s="61"/>
      <c r="H28" s="61"/>
      <c r="I28" s="61"/>
      <c r="J28" s="61"/>
      <c r="K28" s="61"/>
      <c r="L28" s="61"/>
      <c r="M28" s="62"/>
      <c r="N28" s="62"/>
      <c r="O28" s="61"/>
      <c r="P28" s="63"/>
      <c r="Q28" s="61"/>
      <c r="R28" s="57"/>
    </row>
    <row r="29" spans="1:18" ht="15.75" collapsed="1" thickTop="1" x14ac:dyDescent="0.2">
      <c r="A29" s="3"/>
      <c r="B29" s="331"/>
      <c r="C29" s="337" t="str">
        <f>IF(P2="CORE14","Construction of the building","Errichtung des Bauwerks")</f>
        <v>Errichtung des Bauwerks</v>
      </c>
      <c r="D29" s="69" t="s">
        <v>83</v>
      </c>
      <c r="E29" s="339" t="str">
        <f>IF(P2="CORE14","Transport to the construction site","Transport zur Baustelle")</f>
        <v>Transport zur Baustelle</v>
      </c>
      <c r="F29" s="340"/>
      <c r="G29" s="70" t="str">
        <f>IF($P$2="CORE14","undeclared","nicht deklariert")</f>
        <v>nicht deklariert</v>
      </c>
      <c r="H29" s="70" t="str">
        <f>IF($P$2="CORE14","undeclared","nicht deklariert")</f>
        <v>nicht deklariert</v>
      </c>
      <c r="I29" s="70" t="str">
        <f t="shared" ref="I29:Q31" si="7">IF($P$2="CORE14","undeclared","nicht deklariert")</f>
        <v>nicht deklariert</v>
      </c>
      <c r="J29" s="70" t="str">
        <f t="shared" si="7"/>
        <v>nicht deklariert</v>
      </c>
      <c r="K29" s="70" t="str">
        <f t="shared" si="7"/>
        <v>nicht deklariert</v>
      </c>
      <c r="L29" s="70" t="str">
        <f t="shared" si="7"/>
        <v>nicht deklariert</v>
      </c>
      <c r="M29" s="70" t="str">
        <f t="shared" si="7"/>
        <v>nicht deklariert</v>
      </c>
      <c r="N29" s="70" t="str">
        <f t="shared" si="7"/>
        <v>nicht deklariert</v>
      </c>
      <c r="O29" s="70" t="str">
        <f t="shared" si="7"/>
        <v>nicht deklariert</v>
      </c>
      <c r="P29" s="70" t="str">
        <f t="shared" si="7"/>
        <v>nicht deklariert</v>
      </c>
      <c r="Q29" s="70" t="str">
        <f t="shared" si="7"/>
        <v>nicht deklariert</v>
      </c>
      <c r="R29" s="3"/>
    </row>
    <row r="30" spans="1:18" ht="15.75" thickBot="1" x14ac:dyDescent="0.25">
      <c r="A30" s="3"/>
      <c r="B30" s="331"/>
      <c r="C30" s="338"/>
      <c r="D30" s="71" t="s">
        <v>84</v>
      </c>
      <c r="E30" s="341" t="str">
        <f>IF(P2="CORE14","Installation in the building","Einbau in das Gebäude")</f>
        <v>Einbau in das Gebäude</v>
      </c>
      <c r="F30" s="342"/>
      <c r="G30" s="72" t="str">
        <f>IF($P$2="CORE14","undeclared","nicht deklariert")</f>
        <v>nicht deklariert</v>
      </c>
      <c r="H30" s="72" t="str">
        <f>IF($P$2="CORE14","undeclared","nicht deklariert")</f>
        <v>nicht deklariert</v>
      </c>
      <c r="I30" s="72" t="str">
        <f t="shared" si="7"/>
        <v>nicht deklariert</v>
      </c>
      <c r="J30" s="72" t="str">
        <f t="shared" si="7"/>
        <v>nicht deklariert</v>
      </c>
      <c r="K30" s="72" t="str">
        <f t="shared" si="7"/>
        <v>nicht deklariert</v>
      </c>
      <c r="L30" s="72" t="str">
        <f t="shared" si="7"/>
        <v>nicht deklariert</v>
      </c>
      <c r="M30" s="72" t="str">
        <f t="shared" si="7"/>
        <v>nicht deklariert</v>
      </c>
      <c r="N30" s="72" t="str">
        <f t="shared" si="7"/>
        <v>nicht deklariert</v>
      </c>
      <c r="O30" s="72" t="str">
        <f t="shared" si="7"/>
        <v>nicht deklariert</v>
      </c>
      <c r="P30" s="72" t="str">
        <f t="shared" si="7"/>
        <v>nicht deklariert</v>
      </c>
      <c r="Q30" s="72" t="str">
        <f t="shared" si="7"/>
        <v>nicht deklariert</v>
      </c>
      <c r="R30" s="3"/>
    </row>
    <row r="31" spans="1:18" ht="15.75" thickTop="1" x14ac:dyDescent="0.2">
      <c r="A31" s="3"/>
      <c r="B31" s="331"/>
      <c r="C31" s="353" t="str">
        <f>IF(P2="Core14","Use","Nutzung")</f>
        <v>Nutzung</v>
      </c>
      <c r="D31" s="73" t="s">
        <v>85</v>
      </c>
      <c r="E31" s="357" t="str">
        <f>IF(P2="CORE14","Use of the built-in product","Nutzung oder Anwendung des eingebauten Produkts")</f>
        <v>Nutzung oder Anwendung des eingebauten Produkts</v>
      </c>
      <c r="F31" s="358"/>
      <c r="G31" s="70" t="str">
        <f>IF($P$2="CORE14","undeclared","nicht deklariert")</f>
        <v>nicht deklariert</v>
      </c>
      <c r="H31" s="70" t="str">
        <f t="shared" ref="H31" si="8">IF($P$2="CORE14","undeclared","nicht deklariert")</f>
        <v>nicht deklariert</v>
      </c>
      <c r="I31" s="70" t="str">
        <f t="shared" si="7"/>
        <v>nicht deklariert</v>
      </c>
      <c r="J31" s="70" t="str">
        <f t="shared" si="7"/>
        <v>nicht deklariert</v>
      </c>
      <c r="K31" s="70" t="str">
        <f t="shared" si="7"/>
        <v>nicht deklariert</v>
      </c>
      <c r="L31" s="70" t="str">
        <f t="shared" si="7"/>
        <v>nicht deklariert</v>
      </c>
      <c r="M31" s="70" t="str">
        <f t="shared" si="7"/>
        <v>nicht deklariert</v>
      </c>
      <c r="N31" s="70" t="str">
        <f t="shared" si="7"/>
        <v>nicht deklariert</v>
      </c>
      <c r="O31" s="70" t="str">
        <f t="shared" si="7"/>
        <v>nicht deklariert</v>
      </c>
      <c r="P31" s="70" t="str">
        <f t="shared" si="7"/>
        <v>nicht deklariert</v>
      </c>
      <c r="Q31" s="70" t="str">
        <f t="shared" si="7"/>
        <v>nicht deklariert</v>
      </c>
      <c r="R31" s="3"/>
    </row>
    <row r="32" spans="1:18" ht="15" x14ac:dyDescent="0.2">
      <c r="A32" s="3"/>
      <c r="B32" s="331"/>
      <c r="C32" s="354"/>
      <c r="D32" s="74" t="s">
        <v>77</v>
      </c>
      <c r="E32" s="359" t="str">
        <f>IF(P2="CORE14","Maintenance","Instandhaltung")</f>
        <v>Instandhaltung</v>
      </c>
      <c r="F32" s="360"/>
      <c r="G32" s="61"/>
      <c r="H32" s="61"/>
      <c r="I32" s="61"/>
      <c r="J32" s="61"/>
      <c r="K32" s="61"/>
      <c r="L32" s="61"/>
      <c r="M32" s="61"/>
      <c r="N32" s="61"/>
      <c r="O32" s="61"/>
      <c r="P32" s="75"/>
      <c r="Q32" s="61"/>
      <c r="R32" s="3"/>
    </row>
    <row r="33" spans="1:18" ht="15" x14ac:dyDescent="0.2">
      <c r="A33" s="3"/>
      <c r="B33" s="331"/>
      <c r="C33" s="354"/>
      <c r="D33" s="74" t="s">
        <v>86</v>
      </c>
      <c r="E33" s="317" t="str">
        <f>IF(P2="CORE14","Repair","Reparatur")</f>
        <v>Reparatur</v>
      </c>
      <c r="F33" s="318"/>
      <c r="G33" s="76" t="str">
        <f>IF($P$2="CORE14","undeclared","nicht deklariert")</f>
        <v>nicht deklariert</v>
      </c>
      <c r="H33" s="76" t="str">
        <f t="shared" ref="H33:Q33" si="9">IF($P$2="CORE14","undeclared","nicht deklariert")</f>
        <v>nicht deklariert</v>
      </c>
      <c r="I33" s="76" t="str">
        <f t="shared" si="9"/>
        <v>nicht deklariert</v>
      </c>
      <c r="J33" s="76" t="str">
        <f t="shared" si="9"/>
        <v>nicht deklariert</v>
      </c>
      <c r="K33" s="76" t="str">
        <f t="shared" si="9"/>
        <v>nicht deklariert</v>
      </c>
      <c r="L33" s="76" t="str">
        <f t="shared" si="9"/>
        <v>nicht deklariert</v>
      </c>
      <c r="M33" s="76" t="str">
        <f t="shared" si="9"/>
        <v>nicht deklariert</v>
      </c>
      <c r="N33" s="76" t="str">
        <f t="shared" si="9"/>
        <v>nicht deklariert</v>
      </c>
      <c r="O33" s="76" t="str">
        <f t="shared" si="9"/>
        <v>nicht deklariert</v>
      </c>
      <c r="P33" s="76" t="str">
        <f t="shared" si="9"/>
        <v>nicht deklariert</v>
      </c>
      <c r="Q33" s="76" t="str">
        <f t="shared" si="9"/>
        <v>nicht deklariert</v>
      </c>
      <c r="R33" s="3"/>
    </row>
    <row r="34" spans="1:18" ht="15" x14ac:dyDescent="0.2">
      <c r="A34" s="3"/>
      <c r="B34" s="331"/>
      <c r="C34" s="354"/>
      <c r="D34" s="74" t="s">
        <v>87</v>
      </c>
      <c r="E34" s="317" t="str">
        <f>IF(P2="CORE14","Replacement","Ersatz")</f>
        <v>Ersatz</v>
      </c>
      <c r="F34" s="318"/>
      <c r="G34" s="76" t="str">
        <f t="shared" ref="G34:Q35" si="10">IF($P$2="CORE14","undeclared","nicht deklariert")</f>
        <v>nicht deklariert</v>
      </c>
      <c r="H34" s="76" t="str">
        <f t="shared" si="10"/>
        <v>nicht deklariert</v>
      </c>
      <c r="I34" s="76" t="str">
        <f t="shared" si="10"/>
        <v>nicht deklariert</v>
      </c>
      <c r="J34" s="76" t="str">
        <f t="shared" si="10"/>
        <v>nicht deklariert</v>
      </c>
      <c r="K34" s="76" t="str">
        <f t="shared" si="10"/>
        <v>nicht deklariert</v>
      </c>
      <c r="L34" s="76" t="str">
        <f t="shared" si="10"/>
        <v>nicht deklariert</v>
      </c>
      <c r="M34" s="76" t="str">
        <f t="shared" si="10"/>
        <v>nicht deklariert</v>
      </c>
      <c r="N34" s="76" t="str">
        <f t="shared" si="10"/>
        <v>nicht deklariert</v>
      </c>
      <c r="O34" s="76" t="str">
        <f t="shared" si="10"/>
        <v>nicht deklariert</v>
      </c>
      <c r="P34" s="76" t="str">
        <f t="shared" si="10"/>
        <v>nicht deklariert</v>
      </c>
      <c r="Q34" s="76" t="str">
        <f t="shared" si="10"/>
        <v>nicht deklariert</v>
      </c>
      <c r="R34" s="3"/>
    </row>
    <row r="35" spans="1:18" ht="15" x14ac:dyDescent="0.2">
      <c r="A35" s="3"/>
      <c r="B35" s="331"/>
      <c r="C35" s="354"/>
      <c r="D35" s="74" t="s">
        <v>88</v>
      </c>
      <c r="E35" s="317" t="str">
        <f>IF(P2="CORE14","Renovation","Erneuerung")</f>
        <v>Erneuerung</v>
      </c>
      <c r="F35" s="318"/>
      <c r="G35" s="72" t="str">
        <f t="shared" si="10"/>
        <v>nicht deklariert</v>
      </c>
      <c r="H35" s="72" t="str">
        <f t="shared" si="10"/>
        <v>nicht deklariert</v>
      </c>
      <c r="I35" s="72" t="str">
        <f t="shared" si="10"/>
        <v>nicht deklariert</v>
      </c>
      <c r="J35" s="72" t="str">
        <f t="shared" si="10"/>
        <v>nicht deklariert</v>
      </c>
      <c r="K35" s="72" t="str">
        <f t="shared" si="10"/>
        <v>nicht deklariert</v>
      </c>
      <c r="L35" s="72" t="str">
        <f t="shared" si="10"/>
        <v>nicht deklariert</v>
      </c>
      <c r="M35" s="72" t="str">
        <f t="shared" si="10"/>
        <v>nicht deklariert</v>
      </c>
      <c r="N35" s="72" t="str">
        <f t="shared" si="10"/>
        <v>nicht deklariert</v>
      </c>
      <c r="O35" s="72" t="str">
        <f t="shared" si="10"/>
        <v>nicht deklariert</v>
      </c>
      <c r="P35" s="72" t="str">
        <f t="shared" si="10"/>
        <v>nicht deklariert</v>
      </c>
      <c r="Q35" s="72" t="str">
        <f t="shared" si="10"/>
        <v>nicht deklariert</v>
      </c>
      <c r="R35" s="3"/>
    </row>
    <row r="36" spans="1:18" ht="15" hidden="1" outlineLevel="1" x14ac:dyDescent="0.2">
      <c r="A36" s="3"/>
      <c r="B36" s="331"/>
      <c r="C36" s="354"/>
      <c r="D36" s="74" t="s">
        <v>81</v>
      </c>
      <c r="E36" s="317" t="str">
        <f>IF(P2="CORE14","Energy input for the operation of the building","Energieeinsatz für das Betreiben des Gebäudes")</f>
        <v>Energieeinsatz für das Betreiben des Gebäudes</v>
      </c>
      <c r="F36" s="318"/>
      <c r="G36" s="77">
        <f>G37+G38-G39</f>
        <v>0</v>
      </c>
      <c r="H36" s="77">
        <f t="shared" ref="H36:P36" si="11">H37+H38-H39</f>
        <v>0</v>
      </c>
      <c r="I36" s="77">
        <f t="shared" si="11"/>
        <v>0</v>
      </c>
      <c r="J36" s="77">
        <f t="shared" si="11"/>
        <v>0</v>
      </c>
      <c r="K36" s="77">
        <f t="shared" si="11"/>
        <v>0</v>
      </c>
      <c r="L36" s="77">
        <f t="shared" si="11"/>
        <v>0</v>
      </c>
      <c r="M36" s="77">
        <f t="shared" si="11"/>
        <v>0</v>
      </c>
      <c r="N36" s="77">
        <f t="shared" si="11"/>
        <v>0</v>
      </c>
      <c r="O36" s="77">
        <f t="shared" si="11"/>
        <v>0</v>
      </c>
      <c r="P36" s="77">
        <f t="shared" si="11"/>
        <v>0</v>
      </c>
      <c r="Q36" s="77">
        <f>Q37+Q38-Q39</f>
        <v>0</v>
      </c>
      <c r="R36" s="3"/>
    </row>
    <row r="37" spans="1:18" s="64" customFormat="1" ht="12" hidden="1" customHeight="1" outlineLevel="1" x14ac:dyDescent="0.2">
      <c r="A37" s="57"/>
      <c r="B37" s="331"/>
      <c r="C37" s="354"/>
      <c r="D37" s="78" t="s">
        <v>81</v>
      </c>
      <c r="E37" s="319" t="str">
        <f>IF(P2="CORE14","Electrical Energy for the operation of the building","Stromenergie für das Betreiben des Gebäudes")</f>
        <v>Stromenergie für das Betreiben des Gebäudes</v>
      </c>
      <c r="F37" s="320"/>
      <c r="G37" s="61"/>
      <c r="H37" s="61"/>
      <c r="I37" s="61"/>
      <c r="J37" s="61"/>
      <c r="K37" s="61"/>
      <c r="L37" s="61"/>
      <c r="M37" s="62"/>
      <c r="N37" s="62"/>
      <c r="O37" s="61"/>
      <c r="P37" s="75"/>
      <c r="Q37" s="61"/>
      <c r="R37" s="57"/>
    </row>
    <row r="38" spans="1:18" s="64" customFormat="1" ht="12" hidden="1" customHeight="1" outlineLevel="1" x14ac:dyDescent="0.2">
      <c r="A38" s="57"/>
      <c r="B38" s="331"/>
      <c r="C38" s="355"/>
      <c r="D38" s="78" t="s">
        <v>81</v>
      </c>
      <c r="E38" s="321" t="str">
        <f>IF(P2="CORE14","Heat Energy for the operation of the building","Wärme  für das Betreiben des Gebäudes")</f>
        <v>Wärme  für das Betreiben des Gebäudes</v>
      </c>
      <c r="F38" s="322"/>
      <c r="G38" s="61"/>
      <c r="H38" s="61"/>
      <c r="I38" s="61"/>
      <c r="J38" s="61"/>
      <c r="K38" s="61"/>
      <c r="L38" s="61"/>
      <c r="M38" s="62"/>
      <c r="N38" s="62"/>
      <c r="O38" s="61"/>
      <c r="P38" s="75"/>
      <c r="Q38" s="61"/>
      <c r="R38" s="57"/>
    </row>
    <row r="39" spans="1:18" s="64" customFormat="1" ht="12" hidden="1" customHeight="1" outlineLevel="1" x14ac:dyDescent="0.2">
      <c r="A39" s="57"/>
      <c r="B39" s="331"/>
      <c r="C39" s="355"/>
      <c r="D39" s="78" t="s">
        <v>81</v>
      </c>
      <c r="E39" s="319" t="str">
        <f>IF(P2="CORE14","Electricity production by PV plant","Stromerzeugung durch PV Anlage")</f>
        <v>Stromerzeugung durch PV Anlage</v>
      </c>
      <c r="F39" s="323"/>
      <c r="G39" s="61"/>
      <c r="H39" s="61"/>
      <c r="I39" s="61"/>
      <c r="J39" s="61"/>
      <c r="K39" s="61"/>
      <c r="L39" s="61"/>
      <c r="M39" s="62"/>
      <c r="N39" s="62"/>
      <c r="O39" s="61"/>
      <c r="P39" s="75"/>
      <c r="Q39" s="61"/>
      <c r="R39" s="57"/>
    </row>
    <row r="40" spans="1:18" ht="15.75" collapsed="1" thickBot="1" x14ac:dyDescent="0.25">
      <c r="A40" s="3"/>
      <c r="B40" s="331"/>
      <c r="C40" s="356"/>
      <c r="D40" s="79" t="s">
        <v>89</v>
      </c>
      <c r="E40" s="343" t="str">
        <f>IF(P2="CORE14","Use of water for operating the building","Wassereinsatz für das Betreiben des Gebäudes")</f>
        <v>Wassereinsatz für das Betreiben des Gebäudes</v>
      </c>
      <c r="F40" s="344"/>
      <c r="G40" s="72" t="str">
        <f t="shared" ref="G40:Q42" si="12">IF($P$2="CORE14","undeclared","nicht deklariert")</f>
        <v>nicht deklariert</v>
      </c>
      <c r="H40" s="72" t="str">
        <f t="shared" si="12"/>
        <v>nicht deklariert</v>
      </c>
      <c r="I40" s="72" t="str">
        <f t="shared" si="12"/>
        <v>nicht deklariert</v>
      </c>
      <c r="J40" s="72" t="str">
        <f t="shared" si="12"/>
        <v>nicht deklariert</v>
      </c>
      <c r="K40" s="72" t="str">
        <f t="shared" si="12"/>
        <v>nicht deklariert</v>
      </c>
      <c r="L40" s="72" t="str">
        <f t="shared" si="12"/>
        <v>nicht deklariert</v>
      </c>
      <c r="M40" s="72" t="str">
        <f t="shared" si="12"/>
        <v>nicht deklariert</v>
      </c>
      <c r="N40" s="72" t="str">
        <f t="shared" si="12"/>
        <v>nicht deklariert</v>
      </c>
      <c r="O40" s="72" t="str">
        <f t="shared" si="12"/>
        <v>nicht deklariert</v>
      </c>
      <c r="P40" s="72" t="str">
        <f t="shared" si="12"/>
        <v>nicht deklariert</v>
      </c>
      <c r="Q40" s="72" t="str">
        <f t="shared" si="12"/>
        <v>nicht deklariert</v>
      </c>
      <c r="R40" s="3"/>
    </row>
    <row r="41" spans="1:18" ht="15.75" thickTop="1" x14ac:dyDescent="0.2">
      <c r="A41" s="3"/>
      <c r="B41" s="331"/>
      <c r="C41" s="345" t="str">
        <f>IF(P2="CORE14","Disposal","Deponierung")</f>
        <v>Deponierung</v>
      </c>
      <c r="D41" s="80" t="s">
        <v>90</v>
      </c>
      <c r="E41" s="348" t="str">
        <f>IF(P2="CORE14","Dismantling, demolition","Rückbau, Abriss")</f>
        <v>Rückbau, Abriss</v>
      </c>
      <c r="F41" s="349"/>
      <c r="G41" s="70" t="str">
        <f t="shared" si="12"/>
        <v>nicht deklariert</v>
      </c>
      <c r="H41" s="70" t="str">
        <f t="shared" si="12"/>
        <v>nicht deklariert</v>
      </c>
      <c r="I41" s="70" t="str">
        <f t="shared" si="12"/>
        <v>nicht deklariert</v>
      </c>
      <c r="J41" s="70" t="str">
        <f t="shared" si="12"/>
        <v>nicht deklariert</v>
      </c>
      <c r="K41" s="70" t="str">
        <f t="shared" si="12"/>
        <v>nicht deklariert</v>
      </c>
      <c r="L41" s="70" t="str">
        <f t="shared" si="12"/>
        <v>nicht deklariert</v>
      </c>
      <c r="M41" s="70" t="str">
        <f t="shared" si="12"/>
        <v>nicht deklariert</v>
      </c>
      <c r="N41" s="70" t="str">
        <f t="shared" si="12"/>
        <v>nicht deklariert</v>
      </c>
      <c r="O41" s="70" t="str">
        <f t="shared" si="12"/>
        <v>nicht deklariert</v>
      </c>
      <c r="P41" s="70" t="str">
        <f t="shared" si="12"/>
        <v>nicht deklariert</v>
      </c>
      <c r="Q41" s="70" t="str">
        <f t="shared" si="12"/>
        <v>nicht deklariert</v>
      </c>
      <c r="R41" s="3"/>
    </row>
    <row r="42" spans="1:18" ht="15" x14ac:dyDescent="0.2">
      <c r="A42" s="3"/>
      <c r="B42" s="331"/>
      <c r="C42" s="346"/>
      <c r="D42" s="81" t="s">
        <v>91</v>
      </c>
      <c r="E42" s="350" t="str">
        <f>IF(P2="CORE14","Transport for waste treatment","Transport zur Abfallbehandlung")</f>
        <v>Transport zur Abfallbehandlung</v>
      </c>
      <c r="F42" s="351"/>
      <c r="G42" s="72" t="str">
        <f t="shared" si="12"/>
        <v>nicht deklariert</v>
      </c>
      <c r="H42" s="72" t="str">
        <f t="shared" si="12"/>
        <v>nicht deklariert</v>
      </c>
      <c r="I42" s="72" t="str">
        <f t="shared" si="12"/>
        <v>nicht deklariert</v>
      </c>
      <c r="J42" s="72" t="str">
        <f t="shared" si="12"/>
        <v>nicht deklariert</v>
      </c>
      <c r="K42" s="72" t="str">
        <f t="shared" si="12"/>
        <v>nicht deklariert</v>
      </c>
      <c r="L42" s="72" t="str">
        <f t="shared" si="12"/>
        <v>nicht deklariert</v>
      </c>
      <c r="M42" s="72" t="str">
        <f t="shared" si="12"/>
        <v>nicht deklariert</v>
      </c>
      <c r="N42" s="72" t="str">
        <f t="shared" si="12"/>
        <v>nicht deklariert</v>
      </c>
      <c r="O42" s="72" t="str">
        <f t="shared" si="12"/>
        <v>nicht deklariert</v>
      </c>
      <c r="P42" s="72" t="str">
        <f t="shared" si="12"/>
        <v>nicht deklariert</v>
      </c>
      <c r="Q42" s="72" t="str">
        <f t="shared" si="12"/>
        <v>nicht deklariert</v>
      </c>
      <c r="R42" s="3"/>
    </row>
    <row r="43" spans="1:18" ht="15" x14ac:dyDescent="0.2">
      <c r="A43" s="3"/>
      <c r="B43" s="331"/>
      <c r="C43" s="346"/>
      <c r="D43" s="81" t="s">
        <v>78</v>
      </c>
      <c r="E43" s="352" t="str">
        <f>IF(P2="CORE14","Waste treatment for reuse, recovery and / or recycling","Abfallbehandlung zur Wiederverwendung, Rückgewinnung und/ oder zum Recycling")</f>
        <v>Abfallbehandlung zur Wiederverwendung, Rückgewinnung und/ oder zum Recycling</v>
      </c>
      <c r="F43" s="351"/>
      <c r="G43" s="298"/>
      <c r="H43" s="298"/>
      <c r="I43" s="298"/>
      <c r="J43" s="298"/>
      <c r="K43" s="298"/>
      <c r="L43" s="298"/>
      <c r="M43" s="314"/>
      <c r="N43" s="82"/>
      <c r="O43" s="298"/>
      <c r="P43" s="301"/>
      <c r="Q43" s="298"/>
      <c r="R43" s="3"/>
    </row>
    <row r="44" spans="1:18" ht="15.75" thickBot="1" x14ac:dyDescent="0.25">
      <c r="A44" s="3"/>
      <c r="B44" s="331"/>
      <c r="C44" s="347"/>
      <c r="D44" s="83" t="s">
        <v>79</v>
      </c>
      <c r="E44" s="304" t="str">
        <f>IF(P2="CORE14","Disposal","Deponierung")</f>
        <v>Deponierung</v>
      </c>
      <c r="F44" s="305"/>
      <c r="G44" s="299"/>
      <c r="H44" s="299"/>
      <c r="I44" s="299"/>
      <c r="J44" s="299"/>
      <c r="K44" s="299"/>
      <c r="L44" s="299"/>
      <c r="M44" s="315"/>
      <c r="N44" s="84"/>
      <c r="O44" s="299"/>
      <c r="P44" s="302"/>
      <c r="Q44" s="299"/>
      <c r="R44" s="3"/>
    </row>
    <row r="45" spans="1:18" ht="37.5" customHeight="1" thickTop="1" thickBot="1" x14ac:dyDescent="0.25">
      <c r="A45" s="3"/>
      <c r="B45" s="331"/>
      <c r="C45" s="306" t="str">
        <f>IF(P2="CORE14","Credits and charges outside the System boundary","Gutschriften und Lasten außerhalb der Systemgrenze")</f>
        <v>Gutschriften und Lasten außerhalb der Systemgrenze</v>
      </c>
      <c r="D45" s="308" t="s">
        <v>80</v>
      </c>
      <c r="E45" s="310" t="str">
        <f>IF(P2="CORE14","Credits and charges outside the System boundary","Gutschriften und Lasten außerhalb der Systemgrenze")</f>
        <v>Gutschriften und Lasten außerhalb der Systemgrenze</v>
      </c>
      <c r="F45" s="311"/>
      <c r="G45" s="300"/>
      <c r="H45" s="300"/>
      <c r="I45" s="300"/>
      <c r="J45" s="300"/>
      <c r="K45" s="300"/>
      <c r="L45" s="300"/>
      <c r="M45" s="316"/>
      <c r="N45" s="85"/>
      <c r="O45" s="300"/>
      <c r="P45" s="303"/>
      <c r="Q45" s="300"/>
      <c r="R45" s="3"/>
    </row>
    <row r="46" spans="1:18" ht="37.5" customHeight="1" thickBot="1" x14ac:dyDescent="0.25">
      <c r="A46" s="3"/>
      <c r="B46" s="331"/>
      <c r="C46" s="307"/>
      <c r="D46" s="309"/>
      <c r="E46" s="312" t="str">
        <f>IF(P2="CORE14","Credits Photovoltaic (20 years)","Gutschriften Strom aus Photovoltaik (20 Jahre)")</f>
        <v>Gutschriften Strom aus Photovoltaik (20 Jahre)</v>
      </c>
      <c r="F46" s="313"/>
      <c r="G46" s="86" t="str">
        <f t="shared" ref="G46:Q46" si="13">IF($P$2="CORE14","undeclared","nicht deklariert")</f>
        <v>nicht deklariert</v>
      </c>
      <c r="H46" s="86" t="str">
        <f t="shared" si="13"/>
        <v>nicht deklariert</v>
      </c>
      <c r="I46" s="86" t="str">
        <f t="shared" si="13"/>
        <v>nicht deklariert</v>
      </c>
      <c r="J46" s="86" t="str">
        <f t="shared" si="13"/>
        <v>nicht deklariert</v>
      </c>
      <c r="K46" s="86" t="str">
        <f t="shared" si="13"/>
        <v>nicht deklariert</v>
      </c>
      <c r="L46" s="86" t="str">
        <f t="shared" si="13"/>
        <v>nicht deklariert</v>
      </c>
      <c r="M46" s="86" t="str">
        <f t="shared" si="13"/>
        <v>nicht deklariert</v>
      </c>
      <c r="N46" s="86" t="str">
        <f t="shared" si="13"/>
        <v>nicht deklariert</v>
      </c>
      <c r="O46" s="86" t="str">
        <f t="shared" si="13"/>
        <v>nicht deklariert</v>
      </c>
      <c r="P46" s="86" t="str">
        <f t="shared" si="13"/>
        <v>nicht deklariert</v>
      </c>
      <c r="Q46" s="86" t="str">
        <f t="shared" si="13"/>
        <v>nicht deklariert</v>
      </c>
      <c r="R46" s="3"/>
    </row>
    <row r="47" spans="1:18" ht="13.5" thickTop="1" x14ac:dyDescent="0.2">
      <c r="A47" s="87"/>
      <c r="B47" s="88"/>
      <c r="C47" s="88"/>
      <c r="D47" s="88"/>
      <c r="E47" s="88"/>
      <c r="F47" s="88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3"/>
    </row>
    <row r="48" spans="1:18" ht="13.5" thickBot="1" x14ac:dyDescent="0.25">
      <c r="A48" s="3"/>
      <c r="R48" s="3"/>
    </row>
    <row r="49" spans="1:18" ht="15.75" thickBot="1" x14ac:dyDescent="0.25">
      <c r="A49" s="3"/>
      <c r="B49" s="281" t="s">
        <v>92</v>
      </c>
      <c r="C49" s="282"/>
      <c r="D49" s="282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283"/>
      <c r="R49" s="3"/>
    </row>
    <row r="50" spans="1:18" ht="19.5" customHeight="1" thickTop="1" x14ac:dyDescent="0.2">
      <c r="A50" s="3"/>
      <c r="B50" s="284" t="s">
        <v>93</v>
      </c>
      <c r="C50" s="285"/>
      <c r="D50" s="285"/>
      <c r="E50" s="285"/>
      <c r="F50" s="90"/>
      <c r="G50" s="286" t="s">
        <v>94</v>
      </c>
      <c r="H50" s="287"/>
      <c r="I50" s="288"/>
      <c r="J50" s="289" t="s">
        <v>95</v>
      </c>
      <c r="K50" s="290"/>
      <c r="L50" s="290"/>
      <c r="M50" s="290"/>
      <c r="N50" s="290"/>
      <c r="O50" s="290"/>
      <c r="P50" s="290"/>
      <c r="Q50" s="291"/>
      <c r="R50" s="3"/>
    </row>
    <row r="51" spans="1:18" ht="18" customHeight="1" thickBot="1" x14ac:dyDescent="0.25">
      <c r="A51" s="3"/>
      <c r="B51" s="292"/>
      <c r="C51" s="293"/>
      <c r="D51" s="293"/>
      <c r="E51" s="293"/>
      <c r="F51" s="91"/>
      <c r="G51" s="294" t="s">
        <v>96</v>
      </c>
      <c r="H51" s="295"/>
      <c r="I51" s="295"/>
      <c r="J51" s="296"/>
      <c r="K51" s="296"/>
      <c r="L51" s="296"/>
      <c r="M51" s="296"/>
      <c r="N51" s="296"/>
      <c r="O51" s="296"/>
      <c r="P51" s="296"/>
      <c r="Q51" s="297"/>
      <c r="R51" s="3"/>
    </row>
    <row r="52" spans="1:18" ht="15" x14ac:dyDescent="0.2">
      <c r="A52" s="3"/>
      <c r="B52" s="273"/>
      <c r="C52" s="274"/>
      <c r="D52" s="274"/>
      <c r="E52" s="274"/>
      <c r="F52" s="92"/>
      <c r="G52" s="275"/>
      <c r="H52" s="275"/>
      <c r="I52" s="275"/>
      <c r="J52" s="276"/>
      <c r="K52" s="276"/>
      <c r="L52" s="276"/>
      <c r="M52" s="276"/>
      <c r="N52" s="276"/>
      <c r="O52" s="276"/>
      <c r="P52" s="276"/>
      <c r="Q52" s="276"/>
      <c r="R52" s="3"/>
    </row>
    <row r="53" spans="1:18" ht="15" hidden="1" customHeight="1" outlineLevel="1" x14ac:dyDescent="0.25">
      <c r="A53" s="3"/>
      <c r="B53" s="277" t="s">
        <v>97</v>
      </c>
      <c r="C53" s="278"/>
      <c r="D53" s="278"/>
      <c r="E53" s="278"/>
      <c r="F53" s="93"/>
      <c r="G53" s="269"/>
      <c r="H53" s="279"/>
      <c r="I53" s="280"/>
      <c r="J53" s="271"/>
      <c r="K53" s="271"/>
      <c r="L53" s="271"/>
      <c r="M53" s="271"/>
      <c r="N53" s="271"/>
      <c r="O53" s="271"/>
      <c r="P53" s="271"/>
      <c r="Q53" s="272"/>
      <c r="R53" s="3"/>
    </row>
    <row r="54" spans="1:18" ht="15" hidden="1" outlineLevel="1" x14ac:dyDescent="0.25">
      <c r="A54" s="3"/>
      <c r="B54" s="260" t="s">
        <v>98</v>
      </c>
      <c r="C54" s="261"/>
      <c r="D54" s="261"/>
      <c r="E54" s="261"/>
      <c r="F54" s="94"/>
      <c r="G54" s="262"/>
      <c r="H54" s="263"/>
      <c r="I54" s="263"/>
      <c r="J54" s="263"/>
      <c r="K54" s="263"/>
      <c r="L54" s="263"/>
      <c r="M54" s="263"/>
      <c r="N54" s="263"/>
      <c r="O54" s="263"/>
      <c r="P54" s="263"/>
      <c r="Q54" s="264"/>
      <c r="R54" s="3"/>
    </row>
    <row r="55" spans="1:18" ht="15" hidden="1" customHeight="1" outlineLevel="1" x14ac:dyDescent="0.25">
      <c r="A55" s="3"/>
      <c r="B55" s="260" t="s">
        <v>99</v>
      </c>
      <c r="C55" s="261"/>
      <c r="D55" s="261"/>
      <c r="E55" s="261"/>
      <c r="F55" s="95"/>
      <c r="G55" s="269"/>
      <c r="H55" s="270"/>
      <c r="I55" s="270"/>
      <c r="J55" s="271"/>
      <c r="K55" s="271"/>
      <c r="L55" s="271"/>
      <c r="M55" s="271"/>
      <c r="N55" s="271"/>
      <c r="O55" s="271"/>
      <c r="P55" s="271"/>
      <c r="Q55" s="272"/>
      <c r="R55" s="3"/>
    </row>
    <row r="56" spans="1:18" ht="15" hidden="1" customHeight="1" outlineLevel="1" x14ac:dyDescent="0.25">
      <c r="A56" s="3"/>
      <c r="B56" s="260" t="s">
        <v>100</v>
      </c>
      <c r="C56" s="261"/>
      <c r="D56" s="261"/>
      <c r="E56" s="261"/>
      <c r="F56" s="96"/>
      <c r="G56" s="269"/>
      <c r="H56" s="270"/>
      <c r="I56" s="270"/>
      <c r="J56" s="271"/>
      <c r="K56" s="271"/>
      <c r="L56" s="271"/>
      <c r="M56" s="271"/>
      <c r="N56" s="271"/>
      <c r="O56" s="271"/>
      <c r="P56" s="271"/>
      <c r="Q56" s="272"/>
      <c r="R56" s="3"/>
    </row>
    <row r="57" spans="1:18" ht="15" hidden="1" outlineLevel="1" x14ac:dyDescent="0.25">
      <c r="A57" s="3"/>
      <c r="B57" s="260" t="s">
        <v>101</v>
      </c>
      <c r="C57" s="261"/>
      <c r="D57" s="261"/>
      <c r="E57" s="261"/>
      <c r="F57" s="94"/>
      <c r="G57" s="262"/>
      <c r="H57" s="263"/>
      <c r="I57" s="263"/>
      <c r="J57" s="263"/>
      <c r="K57" s="263"/>
      <c r="L57" s="263"/>
      <c r="M57" s="263"/>
      <c r="N57" s="263"/>
      <c r="O57" s="263"/>
      <c r="P57" s="263"/>
      <c r="Q57" s="264"/>
      <c r="R57" s="3"/>
    </row>
    <row r="58" spans="1:18" ht="15.75" hidden="1" outlineLevel="1" thickBot="1" x14ac:dyDescent="0.3">
      <c r="A58" s="3"/>
      <c r="B58" s="260" t="s">
        <v>102</v>
      </c>
      <c r="C58" s="261"/>
      <c r="D58" s="261"/>
      <c r="E58" s="261"/>
      <c r="F58" s="97"/>
      <c r="G58" s="265"/>
      <c r="H58" s="266"/>
      <c r="I58" s="266"/>
      <c r="J58" s="267"/>
      <c r="K58" s="267"/>
      <c r="L58" s="267"/>
      <c r="M58" s="267"/>
      <c r="N58" s="267"/>
      <c r="O58" s="267"/>
      <c r="P58" s="267"/>
      <c r="Q58" s="268"/>
      <c r="R58" s="3"/>
    </row>
    <row r="59" spans="1:18" ht="16.5" hidden="1" outlineLevel="1" thickTop="1" thickBot="1" x14ac:dyDescent="0.25">
      <c r="A59" s="3"/>
      <c r="B59" s="98" t="s">
        <v>103</v>
      </c>
      <c r="C59" s="99"/>
      <c r="D59" s="99"/>
      <c r="E59" s="99"/>
      <c r="F59" s="99"/>
      <c r="G59" s="100"/>
      <c r="H59" s="100"/>
      <c r="I59" s="100"/>
      <c r="J59" s="100"/>
      <c r="K59" s="100"/>
      <c r="L59" s="100"/>
      <c r="M59" s="101"/>
      <c r="N59" s="102"/>
      <c r="O59" s="102"/>
      <c r="P59" s="102"/>
      <c r="Q59" s="103"/>
      <c r="R59" s="3"/>
    </row>
    <row r="60" spans="1:18" ht="15.75" hidden="1" outlineLevel="1" thickTop="1" x14ac:dyDescent="0.2">
      <c r="A60" s="3"/>
      <c r="B60" s="236" t="str">
        <f>IF(P2="CORE14","Calculation unit (according to LCEM)","Berechnungseinheit (nach EnEV)")</f>
        <v>Berechnungseinheit (nach EnEV)</v>
      </c>
      <c r="C60" s="237"/>
      <c r="D60" s="237"/>
      <c r="E60" s="238"/>
      <c r="F60" s="104" t="s">
        <v>104</v>
      </c>
      <c r="G60" s="239"/>
      <c r="H60" s="240"/>
      <c r="I60" s="240"/>
      <c r="J60" s="240"/>
      <c r="K60" s="240"/>
      <c r="L60" s="240"/>
      <c r="M60" s="240"/>
      <c r="N60" s="240"/>
      <c r="O60" s="240"/>
      <c r="P60" s="240"/>
      <c r="Q60" s="241"/>
      <c r="R60" s="3"/>
    </row>
    <row r="61" spans="1:18" ht="15" hidden="1" outlineLevel="1" x14ac:dyDescent="0.2">
      <c r="B61" s="242" t="str">
        <f>IF(P2="CORE14","Electricity demand according to energy report","Strombedarf laut EnEV Bezugsgröße")</f>
        <v>Strombedarf laut EnEV Bezugsgröße</v>
      </c>
      <c r="C61" s="243"/>
      <c r="D61" s="243"/>
      <c r="E61" s="244"/>
      <c r="F61" s="105"/>
      <c r="G61" s="245"/>
      <c r="H61" s="246"/>
      <c r="I61" s="246"/>
      <c r="J61" s="246"/>
      <c r="K61" s="246"/>
      <c r="L61" s="246"/>
      <c r="M61" s="246"/>
      <c r="N61" s="246"/>
      <c r="O61" s="246"/>
      <c r="P61" s="246"/>
      <c r="Q61" s="247"/>
    </row>
    <row r="62" spans="1:18" ht="15" hidden="1" outlineLevel="1" x14ac:dyDescent="0.2">
      <c r="B62" s="242" t="str">
        <f>IF(P2="CORE14","Heat demand","Wärmebedarf")</f>
        <v>Wärmebedarf</v>
      </c>
      <c r="C62" s="243"/>
      <c r="D62" s="243"/>
      <c r="E62" s="244"/>
      <c r="F62" s="105"/>
      <c r="G62" s="245"/>
      <c r="H62" s="246"/>
      <c r="I62" s="246"/>
      <c r="J62" s="246"/>
      <c r="K62" s="246"/>
      <c r="L62" s="246"/>
      <c r="M62" s="246"/>
      <c r="N62" s="246"/>
      <c r="O62" s="246"/>
      <c r="P62" s="246"/>
      <c r="Q62" s="247"/>
    </row>
    <row r="63" spans="1:18" ht="15.75" hidden="1" outlineLevel="1" thickBot="1" x14ac:dyDescent="0.25">
      <c r="B63" s="254" t="str">
        <f>IF(P2="CORE14","Power generation Photovoltaic [kWh / a]","Stromerzeugung Photovoltaik    [kWh/a]")</f>
        <v>Stromerzeugung Photovoltaik    [kWh/a]</v>
      </c>
      <c r="C63" s="255"/>
      <c r="D63" s="255"/>
      <c r="E63" s="256"/>
      <c r="F63" s="106"/>
      <c r="G63" s="257"/>
      <c r="H63" s="258"/>
      <c r="I63" s="258"/>
      <c r="J63" s="258"/>
      <c r="K63" s="258"/>
      <c r="L63" s="258"/>
      <c r="M63" s="258"/>
      <c r="N63" s="258"/>
      <c r="O63" s="258"/>
      <c r="P63" s="258"/>
      <c r="Q63" s="259"/>
    </row>
    <row r="64" spans="1:18" ht="16.5" hidden="1" outlineLevel="1" thickTop="1" thickBot="1" x14ac:dyDescent="0.25">
      <c r="B64" s="98" t="s">
        <v>105</v>
      </c>
      <c r="C64" s="99"/>
      <c r="D64" s="99"/>
      <c r="E64" s="99"/>
      <c r="F64" s="99"/>
      <c r="G64" s="100"/>
      <c r="H64" s="100"/>
      <c r="I64" s="100"/>
      <c r="J64" s="100"/>
      <c r="K64" s="100"/>
      <c r="L64" s="100"/>
      <c r="M64" s="101"/>
      <c r="N64" s="102"/>
      <c r="O64" s="102"/>
      <c r="P64" s="102"/>
      <c r="Q64" s="103"/>
    </row>
    <row r="65" spans="1:18" ht="15.75" hidden="1" outlineLevel="1" thickTop="1" x14ac:dyDescent="0.2">
      <c r="A65" s="3"/>
      <c r="B65" s="236" t="str">
        <f>IF(P7="CORE14","Calculation unit (according to LCEM)","Berechnungseinheit (nach EnEV)")</f>
        <v>Berechnungseinheit (nach EnEV)</v>
      </c>
      <c r="C65" s="237"/>
      <c r="D65" s="237"/>
      <c r="E65" s="238"/>
      <c r="F65" s="104" t="s">
        <v>104</v>
      </c>
      <c r="G65" s="239"/>
      <c r="H65" s="240"/>
      <c r="I65" s="240"/>
      <c r="J65" s="240"/>
      <c r="K65" s="240"/>
      <c r="L65" s="240"/>
      <c r="M65" s="240"/>
      <c r="N65" s="240"/>
      <c r="O65" s="240"/>
      <c r="P65" s="240"/>
      <c r="Q65" s="241"/>
      <c r="R65" s="3"/>
    </row>
    <row r="66" spans="1:18" ht="15" hidden="1" outlineLevel="1" x14ac:dyDescent="0.2">
      <c r="A66" s="3"/>
      <c r="B66" s="242" t="str">
        <f>IF(P2="CORE14","Electricity demand","Strombedarf")</f>
        <v>Strombedarf</v>
      </c>
      <c r="C66" s="243"/>
      <c r="D66" s="243"/>
      <c r="E66" s="244"/>
      <c r="F66" s="105"/>
      <c r="G66" s="245"/>
      <c r="H66" s="246"/>
      <c r="I66" s="246"/>
      <c r="J66" s="246"/>
      <c r="K66" s="246"/>
      <c r="L66" s="246"/>
      <c r="M66" s="246"/>
      <c r="N66" s="246"/>
      <c r="O66" s="246"/>
      <c r="P66" s="246"/>
      <c r="Q66" s="247"/>
      <c r="R66" s="3"/>
    </row>
    <row r="67" spans="1:18" ht="15.75" hidden="1" outlineLevel="1" thickBot="1" x14ac:dyDescent="0.25">
      <c r="A67" s="3"/>
      <c r="B67" s="251" t="str">
        <f>IF(P2="CORE14","Heat demand","Wärmebedarf")</f>
        <v>Wärmebedarf</v>
      </c>
      <c r="C67" s="252"/>
      <c r="D67" s="252"/>
      <c r="E67" s="253"/>
      <c r="F67" s="107"/>
      <c r="G67" s="248"/>
      <c r="H67" s="249"/>
      <c r="I67" s="249"/>
      <c r="J67" s="249"/>
      <c r="K67" s="249"/>
      <c r="L67" s="249"/>
      <c r="M67" s="249"/>
      <c r="N67" s="249"/>
      <c r="O67" s="249"/>
      <c r="P67" s="249"/>
      <c r="Q67" s="250"/>
      <c r="R67" s="3"/>
    </row>
    <row r="68" spans="1:18" s="3" customFormat="1" ht="15" collapsed="1" x14ac:dyDescent="0.2">
      <c r="B68" s="108"/>
      <c r="C68" s="108"/>
      <c r="D68" s="108"/>
      <c r="E68" s="108"/>
      <c r="F68" s="108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</row>
    <row r="69" spans="1:18" ht="11.2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1" spans="1:18" x14ac:dyDescent="0.2">
      <c r="B71" s="110"/>
      <c r="C71" s="4" t="str">
        <f>IF(P2="CORE14","to be selected","ist auszuwählen")</f>
        <v>ist auszuwählen</v>
      </c>
    </row>
    <row r="72" spans="1:18" x14ac:dyDescent="0.2">
      <c r="B72" s="111"/>
      <c r="C72" s="4" t="str">
        <f>IF(P2="CORE14","to be entered","ist einzutragen")</f>
        <v>ist einzutragen</v>
      </c>
    </row>
    <row r="73" spans="1:18" x14ac:dyDescent="0.2">
      <c r="B73" s="112"/>
      <c r="C73" s="4" t="s">
        <v>106</v>
      </c>
    </row>
    <row r="74" spans="1:18" x14ac:dyDescent="0.2">
      <c r="B74" s="113"/>
      <c r="C74" s="4" t="s">
        <v>107</v>
      </c>
    </row>
    <row r="76" spans="1:18" hidden="1" outlineLevel="1" x14ac:dyDescent="0.2">
      <c r="F76" s="114" t="s">
        <v>108</v>
      </c>
      <c r="G76" s="115" t="e">
        <f>VLOOKUP(P2,[2]Use!B3:I24,2,FALSE)</f>
        <v>#N/A</v>
      </c>
      <c r="H76" s="115" t="e">
        <f>VLOOKUP(P2,[2]Use!B3:I24,3,FALSE)</f>
        <v>#N/A</v>
      </c>
      <c r="I76" s="115" t="e">
        <f>VLOOKUP(P2,[2]Use!B3:I24,4,FALSE)</f>
        <v>#N/A</v>
      </c>
      <c r="J76" s="115" t="e">
        <f>VLOOKUP(P2,[2]Use!B3:I24,5,FALSE)</f>
        <v>#N/A</v>
      </c>
      <c r="K76" s="115" t="e">
        <f>VLOOKUP(P2,[2]Use!B3:I24,6,FALSE)</f>
        <v>#N/A</v>
      </c>
      <c r="L76" s="115" t="e">
        <f>VLOOKUP(P2,[2]Use!B3:I24,7,FALSE)</f>
        <v>#N/A</v>
      </c>
      <c r="M76" s="115" t="e">
        <f>VLOOKUP(P2,[2]Use!B3:I24,8,FALSE)</f>
        <v>#N/A</v>
      </c>
      <c r="N76" s="116"/>
    </row>
    <row r="77" spans="1:18" hidden="1" outlineLevel="1" x14ac:dyDescent="0.2">
      <c r="F77" s="114" t="s">
        <v>109</v>
      </c>
      <c r="G77" s="115" t="e">
        <f>VLOOKUP(P2,[2]Use!B29:I50,2,FALSE)</f>
        <v>#N/A</v>
      </c>
      <c r="H77" s="115" t="e">
        <f>VLOOKUP(P2,[2]Use!B29:I50,3,FALSE)</f>
        <v>#N/A</v>
      </c>
      <c r="I77" s="115" t="e">
        <f>VLOOKUP(P2,[2]Use!B29:I50,4,FALSE)</f>
        <v>#N/A</v>
      </c>
      <c r="J77" s="115" t="e">
        <f>VLOOKUP(P2,[2]Use!B29:I50,5,FALSE)</f>
        <v>#N/A</v>
      </c>
      <c r="K77" s="115" t="e">
        <f>VLOOKUP(P2,[2]Use!B29:I50,6,FALSE)</f>
        <v>#N/A</v>
      </c>
      <c r="L77" s="115" t="e">
        <f>VLOOKUP(P2,[2]Use!B29:I50,7,FALSE)</f>
        <v>#N/A</v>
      </c>
      <c r="M77" s="115" t="e">
        <f>VLOOKUP(P2,[2]Use!B29:I485,8,FALSE)</f>
        <v>#N/A</v>
      </c>
      <c r="N77" s="116"/>
    </row>
    <row r="78" spans="1:18" hidden="1" outlineLevel="1" x14ac:dyDescent="0.2"/>
    <row r="79" spans="1:18" hidden="1" outlineLevel="1" x14ac:dyDescent="0.2">
      <c r="F79" s="114" t="s">
        <v>110</v>
      </c>
      <c r="G79" s="4" t="e">
        <f>F50/F52</f>
        <v>#DIV/0!</v>
      </c>
    </row>
    <row r="80" spans="1:18" collapsed="1" x14ac:dyDescent="0.2"/>
    <row r="81" spans="2:3" x14ac:dyDescent="0.2">
      <c r="B81" s="4" t="s">
        <v>111</v>
      </c>
    </row>
    <row r="82" spans="2:3" x14ac:dyDescent="0.2">
      <c r="B82" s="117" t="s">
        <v>112</v>
      </c>
      <c r="C82" s="117" t="s">
        <v>113</v>
      </c>
    </row>
    <row r="83" spans="2:3" x14ac:dyDescent="0.2">
      <c r="B83" s="117" t="s">
        <v>114</v>
      </c>
      <c r="C83" s="117" t="s">
        <v>115</v>
      </c>
    </row>
  </sheetData>
  <mergeCells count="96">
    <mergeCell ref="H8:H12"/>
    <mergeCell ref="B1:O2"/>
    <mergeCell ref="P2:Q2"/>
    <mergeCell ref="G3:H3"/>
    <mergeCell ref="L3:M3"/>
    <mergeCell ref="B4:F5"/>
    <mergeCell ref="B6:F6"/>
    <mergeCell ref="B7:B16"/>
    <mergeCell ref="E8:E12"/>
    <mergeCell ref="F8:F12"/>
    <mergeCell ref="G8:G12"/>
    <mergeCell ref="P8:P12"/>
    <mergeCell ref="Q8:Q12"/>
    <mergeCell ref="C13:C16"/>
    <mergeCell ref="D13:D16"/>
    <mergeCell ref="I8:I12"/>
    <mergeCell ref="B17:B46"/>
    <mergeCell ref="C18:C28"/>
    <mergeCell ref="E18:F18"/>
    <mergeCell ref="C29:C30"/>
    <mergeCell ref="E29:F29"/>
    <mergeCell ref="E30:F30"/>
    <mergeCell ref="E40:F40"/>
    <mergeCell ref="C41:C44"/>
    <mergeCell ref="E41:F41"/>
    <mergeCell ref="E42:F42"/>
    <mergeCell ref="E43:F43"/>
    <mergeCell ref="C31:C40"/>
    <mergeCell ref="E31:F31"/>
    <mergeCell ref="E32:F32"/>
    <mergeCell ref="E33:F33"/>
    <mergeCell ref="E34:F34"/>
    <mergeCell ref="J8:J12"/>
    <mergeCell ref="K8:K12"/>
    <mergeCell ref="L8:L12"/>
    <mergeCell ref="M8:M12"/>
    <mergeCell ref="O8:O12"/>
    <mergeCell ref="E35:F35"/>
    <mergeCell ref="E36:F36"/>
    <mergeCell ref="E37:F37"/>
    <mergeCell ref="E38:F38"/>
    <mergeCell ref="E39:F39"/>
    <mergeCell ref="O43:O45"/>
    <mergeCell ref="P43:P45"/>
    <mergeCell ref="Q43:Q45"/>
    <mergeCell ref="E44:F44"/>
    <mergeCell ref="C45:C46"/>
    <mergeCell ref="D45:D46"/>
    <mergeCell ref="E45:F45"/>
    <mergeCell ref="E46:F46"/>
    <mergeCell ref="H43:H45"/>
    <mergeCell ref="I43:I45"/>
    <mergeCell ref="J43:J45"/>
    <mergeCell ref="K43:K45"/>
    <mergeCell ref="L43:L45"/>
    <mergeCell ref="M43:M45"/>
    <mergeCell ref="G43:G45"/>
    <mergeCell ref="B49:Q49"/>
    <mergeCell ref="B50:E50"/>
    <mergeCell ref="G50:I50"/>
    <mergeCell ref="J50:Q50"/>
    <mergeCell ref="B51:E51"/>
    <mergeCell ref="G51:I51"/>
    <mergeCell ref="J51:Q51"/>
    <mergeCell ref="B56:E56"/>
    <mergeCell ref="G56:I56"/>
    <mergeCell ref="J56:Q56"/>
    <mergeCell ref="B52:E52"/>
    <mergeCell ref="G52:I52"/>
    <mergeCell ref="J52:Q52"/>
    <mergeCell ref="B53:E53"/>
    <mergeCell ref="G53:I53"/>
    <mergeCell ref="J53:Q53"/>
    <mergeCell ref="B54:E54"/>
    <mergeCell ref="G54:Q54"/>
    <mergeCell ref="B55:E55"/>
    <mergeCell ref="G55:I55"/>
    <mergeCell ref="J55:Q55"/>
    <mergeCell ref="B63:E63"/>
    <mergeCell ref="G63:Q63"/>
    <mergeCell ref="B57:E57"/>
    <mergeCell ref="G57:I57"/>
    <mergeCell ref="J57:Q57"/>
    <mergeCell ref="B58:E58"/>
    <mergeCell ref="G58:I58"/>
    <mergeCell ref="J58:Q58"/>
    <mergeCell ref="B60:E60"/>
    <mergeCell ref="G60:Q60"/>
    <mergeCell ref="B61:E61"/>
    <mergeCell ref="G61:Q62"/>
    <mergeCell ref="B62:E62"/>
    <mergeCell ref="B65:E65"/>
    <mergeCell ref="G65:Q65"/>
    <mergeCell ref="B66:E66"/>
    <mergeCell ref="G66:Q67"/>
    <mergeCell ref="B67:E67"/>
  </mergeCells>
  <conditionalFormatting sqref="B4:F5">
    <cfRule type="cellIs" dxfId="12" priority="4" stopIfTrue="1" operator="notEqual">
      <formula>"PROJEKTNAME"</formula>
    </cfRule>
  </conditionalFormatting>
  <conditionalFormatting sqref="B54:E58">
    <cfRule type="expression" dxfId="11" priority="3">
      <formula>P3="CORE14"</formula>
    </cfRule>
  </conditionalFormatting>
  <conditionalFormatting sqref="O3">
    <cfRule type="expression" dxfId="10" priority="2">
      <formula>$P$2="selbstgewählter Zeitraum"</formula>
    </cfRule>
  </conditionalFormatting>
  <conditionalFormatting sqref="P3">
    <cfRule type="expression" dxfId="9" priority="1">
      <formula>$P$2="selbstgewählter Zeitraum"</formula>
    </cfRule>
  </conditionalFormatting>
  <dataValidations count="2">
    <dataValidation type="list" allowBlank="1" showInputMessage="1" showErrorMessage="1" sqref="F51">
      <formula1>"NGFa nach DIN 277 / NFAa [m²],BRI [m³]"</formula1>
    </dataValidation>
    <dataValidation type="list" allowBlank="1" showInputMessage="1" showErrorMessage="1" sqref="F65 F60">
      <formula1>"Absolute Werte / Absolut Values, kWh/m²a"</formula1>
    </dataValidation>
  </dataValidations>
  <pageMargins left="0.7" right="0.7" top="0.78740157499999996" bottom="0.78740157499999996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DATA!$B$5:$B$9</xm:f>
          </x14:formula1>
          <xm:sqref>P2:Q2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B113"/>
  <sheetViews>
    <sheetView zoomScale="70" zoomScaleNormal="70" workbookViewId="0">
      <selection activeCell="X38" sqref="X38"/>
    </sheetView>
  </sheetViews>
  <sheetFormatPr baseColWidth="10" defaultRowHeight="12.75" outlineLevelRow="1" x14ac:dyDescent="0.2"/>
  <cols>
    <col min="1" max="1" width="1.28515625" style="4" customWidth="1"/>
    <col min="2" max="2" width="27.140625" style="4" customWidth="1"/>
    <col min="3" max="3" width="82.85546875" style="4" customWidth="1"/>
    <col min="4" max="4" width="89.7109375" style="4" customWidth="1"/>
    <col min="5" max="5" width="15.7109375" style="4" customWidth="1"/>
    <col min="6" max="6" width="19.7109375" style="4" customWidth="1"/>
    <col min="7" max="7" width="46.85546875" style="4" customWidth="1"/>
    <col min="8" max="8" width="11.42578125" style="4" customWidth="1"/>
    <col min="9" max="10" width="11.42578125" style="4"/>
    <col min="11" max="11" width="21.5703125" style="4" customWidth="1"/>
    <col min="12" max="15" width="11.42578125" style="4"/>
    <col min="16" max="16" width="12.7109375" style="4" customWidth="1"/>
    <col min="17" max="19" width="13.42578125" style="4" customWidth="1"/>
    <col min="20" max="20" width="15.7109375" style="4" customWidth="1"/>
    <col min="21" max="21" width="16" style="4" customWidth="1"/>
    <col min="22" max="22" width="15.140625" style="4" customWidth="1"/>
    <col min="23" max="23" width="11.42578125" style="4"/>
    <col min="24" max="24" width="33.140625" style="4" customWidth="1"/>
    <col min="25" max="25" width="16.7109375" style="141" customWidth="1"/>
    <col min="26" max="27" width="18.85546875" style="4" customWidth="1"/>
    <col min="28" max="16384" width="11.42578125" style="4"/>
  </cols>
  <sheetData>
    <row r="1" spans="1:25" ht="12.75" customHeight="1" x14ac:dyDescent="0.2">
      <c r="H1" s="116"/>
    </row>
    <row r="2" spans="1:25" ht="18" customHeight="1" x14ac:dyDescent="0.25">
      <c r="B2" s="129" t="str">
        <f>CONCATENATE("Ökobilanz: Qualitative Bewertung von ",G90, " % der Möbel")</f>
        <v>Ökobilanz: Qualitative Bewertung von 1 % der Möbel</v>
      </c>
      <c r="C2" s="129"/>
      <c r="D2" s="129"/>
      <c r="E2" s="129"/>
      <c r="F2" s="129"/>
      <c r="G2" s="129"/>
      <c r="H2" s="129"/>
      <c r="I2" s="129"/>
      <c r="J2" s="129"/>
    </row>
    <row r="3" spans="1:25" ht="33" customHeight="1" x14ac:dyDescent="0.4">
      <c r="C3" s="142"/>
      <c r="D3" s="142"/>
      <c r="E3" s="142"/>
      <c r="F3" s="142"/>
      <c r="G3" s="136" t="s">
        <v>153</v>
      </c>
      <c r="H3" s="116"/>
    </row>
    <row r="4" spans="1:25" x14ac:dyDescent="0.2">
      <c r="C4" s="4" t="str">
        <f>Abfrage_Ergebnis!B16</f>
        <v>Gesamtmasse Tische:</v>
      </c>
      <c r="E4" s="4">
        <f>Abfrage_Ergebnis!E16</f>
        <v>0</v>
      </c>
      <c r="F4" s="4" t="s">
        <v>135</v>
      </c>
      <c r="G4" s="143">
        <f t="shared" ref="G4:G9" si="0">F84*E4</f>
        <v>0</v>
      </c>
    </row>
    <row r="5" spans="1:25" ht="12.75" customHeight="1" x14ac:dyDescent="0.2">
      <c r="A5" s="144"/>
      <c r="B5" s="144"/>
      <c r="C5" s="4" t="str">
        <f>Abfrage_Ergebnis!B17</f>
        <v>Gesamtmasse Rollcontainer:</v>
      </c>
      <c r="E5" s="4">
        <f>Abfrage_Ergebnis!E17</f>
        <v>0</v>
      </c>
      <c r="F5" s="4" t="s">
        <v>135</v>
      </c>
      <c r="G5" s="143">
        <f t="shared" si="0"/>
        <v>0</v>
      </c>
      <c r="J5" s="145"/>
      <c r="K5" s="146"/>
      <c r="L5" s="145"/>
    </row>
    <row r="6" spans="1:25" ht="12.75" customHeight="1" x14ac:dyDescent="0.2">
      <c r="A6" s="144"/>
      <c r="C6" s="4" t="str">
        <f>Abfrage_Ergebnis!B18</f>
        <v>Gesamtmasse Stühle:</v>
      </c>
      <c r="E6" s="4">
        <f>Abfrage_Ergebnis!E18</f>
        <v>0</v>
      </c>
      <c r="F6" s="4" t="s">
        <v>135</v>
      </c>
      <c r="G6" s="143">
        <f t="shared" si="0"/>
        <v>0</v>
      </c>
    </row>
    <row r="7" spans="1:25" ht="12.75" customHeight="1" x14ac:dyDescent="0.2">
      <c r="A7" s="144"/>
      <c r="C7" s="4" t="str">
        <f>Abfrage_Ergebnis!B19</f>
        <v>Gesamtmasse Sessel / Sofas:</v>
      </c>
      <c r="E7" s="4">
        <f>Abfrage_Ergebnis!E19</f>
        <v>0</v>
      </c>
      <c r="F7" s="4" t="s">
        <v>135</v>
      </c>
      <c r="G7" s="143">
        <f t="shared" si="0"/>
        <v>0</v>
      </c>
    </row>
    <row r="8" spans="1:25" ht="12.75" customHeight="1" x14ac:dyDescent="0.2">
      <c r="C8" s="4" t="str">
        <f>Abfrage_Ergebnis!B20</f>
        <v>Gesamtmasse Stauraummöbel (z.B. Regal-, Schubladen-, Vitrinen):</v>
      </c>
      <c r="E8" s="4">
        <f>Abfrage_Ergebnis!E20</f>
        <v>0</v>
      </c>
      <c r="F8" s="4" t="s">
        <v>135</v>
      </c>
      <c r="G8" s="143">
        <f t="shared" si="0"/>
        <v>0</v>
      </c>
    </row>
    <row r="9" spans="1:25" ht="12.75" customHeight="1" x14ac:dyDescent="0.2">
      <c r="C9" s="4" t="str">
        <f>Abfrage_Ergebnis!B21</f>
        <v>Gesamtmasse Kücheneinrichtungen (Oberschrank und Unterschrank), Empfangstheken, Coffee Point Thekenelemente o.ä.:</v>
      </c>
      <c r="E9" s="4">
        <f>Abfrage_Ergebnis!E21</f>
        <v>0</v>
      </c>
      <c r="F9" s="4" t="s">
        <v>135</v>
      </c>
      <c r="G9" s="143">
        <f t="shared" si="0"/>
        <v>0</v>
      </c>
    </row>
    <row r="10" spans="1:25" ht="12.75" customHeight="1" x14ac:dyDescent="0.2">
      <c r="C10" s="4" t="str">
        <f>Abfrage_Ergebnis!B22</f>
        <v>Gesamtmasse Betten</v>
      </c>
      <c r="E10" s="4">
        <f>Abfrage_Ergebnis!E22</f>
        <v>0</v>
      </c>
      <c r="F10" s="4" t="s">
        <v>135</v>
      </c>
      <c r="G10" s="143">
        <f t="shared" ref="G10:G11" si="1">F90*E10</f>
        <v>0</v>
      </c>
    </row>
    <row r="11" spans="1:25" ht="12.75" customHeight="1" thickBot="1" x14ac:dyDescent="0.25">
      <c r="C11" s="4" t="str">
        <f>Abfrage_Ergebnis!B23</f>
        <v>Gesamtmasse sonstige Möbel</v>
      </c>
      <c r="E11" s="4">
        <f>Abfrage_Ergebnis!E23</f>
        <v>0</v>
      </c>
      <c r="F11" s="4" t="s">
        <v>135</v>
      </c>
      <c r="G11" s="143">
        <f t="shared" si="1"/>
        <v>0</v>
      </c>
    </row>
    <row r="12" spans="1:25" ht="19.5" customHeight="1" thickBot="1" x14ac:dyDescent="0.25">
      <c r="C12" s="116"/>
      <c r="D12" s="116"/>
      <c r="E12" s="116"/>
      <c r="F12" s="116"/>
      <c r="G12" s="147"/>
      <c r="H12" s="386" t="s">
        <v>31</v>
      </c>
      <c r="I12" s="387"/>
      <c r="J12" s="387"/>
      <c r="K12" s="387"/>
      <c r="L12" s="387"/>
      <c r="M12" s="387"/>
      <c r="N12" s="387"/>
      <c r="O12" s="387"/>
      <c r="P12" s="386" t="s">
        <v>32</v>
      </c>
      <c r="Q12" s="387"/>
      <c r="R12" s="387"/>
      <c r="S12" s="387"/>
      <c r="T12" s="387"/>
      <c r="U12" s="388"/>
      <c r="W12" s="147"/>
    </row>
    <row r="13" spans="1:25" ht="118.5" customHeight="1" thickBot="1" x14ac:dyDescent="0.25">
      <c r="A13" s="116"/>
      <c r="B13" s="148"/>
      <c r="C13" s="149" t="s">
        <v>136</v>
      </c>
      <c r="D13" s="150" t="s">
        <v>12</v>
      </c>
      <c r="E13" s="151" t="s">
        <v>149</v>
      </c>
      <c r="F13" s="150" t="s">
        <v>151</v>
      </c>
      <c r="G13" s="152" t="s">
        <v>27</v>
      </c>
      <c r="H13" s="153" t="s">
        <v>35</v>
      </c>
      <c r="I13" s="154" t="s">
        <v>36</v>
      </c>
      <c r="J13" s="154" t="s">
        <v>37</v>
      </c>
      <c r="K13" s="155" t="s">
        <v>38</v>
      </c>
      <c r="L13" s="154" t="s">
        <v>39</v>
      </c>
      <c r="M13" s="154" t="s">
        <v>34</v>
      </c>
      <c r="N13" s="154" t="s">
        <v>40</v>
      </c>
      <c r="O13" s="154" t="s">
        <v>41</v>
      </c>
      <c r="P13" s="153" t="s">
        <v>11</v>
      </c>
      <c r="Q13" s="154" t="s">
        <v>42</v>
      </c>
      <c r="R13" s="156" t="s">
        <v>43</v>
      </c>
      <c r="S13" s="156" t="s">
        <v>44</v>
      </c>
      <c r="T13" s="156" t="s">
        <v>45</v>
      </c>
      <c r="U13" s="155" t="s">
        <v>33</v>
      </c>
      <c r="V13" s="398" t="s">
        <v>134</v>
      </c>
      <c r="W13" s="399"/>
      <c r="X13" s="157"/>
      <c r="Y13" s="158"/>
    </row>
    <row r="14" spans="1:25" ht="13.5" customHeight="1" thickBot="1" x14ac:dyDescent="0.25">
      <c r="A14" s="116"/>
      <c r="B14" s="148"/>
      <c r="C14" s="159"/>
      <c r="D14" s="160"/>
      <c r="E14" s="160"/>
      <c r="F14" s="160"/>
      <c r="G14" s="161"/>
      <c r="H14" s="396" t="s">
        <v>8</v>
      </c>
      <c r="I14" s="397"/>
      <c r="J14" s="397"/>
      <c r="K14" s="397"/>
      <c r="L14" s="397"/>
      <c r="M14" s="397"/>
      <c r="N14" s="397"/>
      <c r="O14" s="397"/>
      <c r="P14" s="397"/>
      <c r="Q14" s="397"/>
      <c r="R14" s="397"/>
      <c r="S14" s="397"/>
      <c r="T14" s="397"/>
      <c r="U14" s="397"/>
      <c r="V14" s="391"/>
      <c r="W14" s="392"/>
      <c r="X14" s="162"/>
      <c r="Y14" s="163"/>
    </row>
    <row r="15" spans="1:25" ht="14.25" thickBot="1" x14ac:dyDescent="0.25">
      <c r="B15" s="116"/>
      <c r="C15" s="214"/>
      <c r="D15" s="215"/>
      <c r="E15" s="216"/>
      <c r="F15" s="213" t="str">
        <f>IFERROR(IF(OR(C15="",E15=""),"",IF(C15="Tische",E15/Abfrage_Ergebnis!$E$16,IF(C15="Rollcontainer",E15/Abfrage_Ergebnis!$E$17,IF(C15="Stühle",E15/Abfrage_Ergebnis!$E$18,IF(C15="Sessel / Sofas",E15/Abfrage_Ergebnis!$E$19,IF(C15="Stauraummöbel (z.B. Regal-, Schubladen-, Vitrinen)",E15/Abfrage_Ergebnis!$E$20,IF(C15="Kücheneinrichtungen (Ober- oder Unterschrank), Empfangstheken, Coffee Point Thekenelemente o.ä.",E15/Abfrage_Ergebnis!$E$21,IF(C15="Betten",E15/Abfrage_Ergebnis!$E$22,IF(C15="sonstige Möbel",E15/Abfrage_Ergebnis!$E$23))))))))),"")</f>
        <v/>
      </c>
      <c r="G15" s="219"/>
      <c r="H15" s="220"/>
      <c r="I15" s="221"/>
      <c r="J15" s="221"/>
      <c r="K15" s="221"/>
      <c r="L15" s="221"/>
      <c r="M15" s="221"/>
      <c r="N15" s="221"/>
      <c r="O15" s="222"/>
      <c r="P15" s="220"/>
      <c r="Q15" s="221"/>
      <c r="R15" s="221"/>
      <c r="S15" s="221"/>
      <c r="T15" s="221"/>
      <c r="U15" s="223"/>
      <c r="V15" s="165" t="str">
        <f>IF(AND(C15&lt;&gt;"",G15="Ja",OR(COUNTIF(H15:O15,"a")&gt;=1,COUNTIF(P15:U15,"a")&gt;=2)),"erfüllt","nicht erfüllt")</f>
        <v>nicht erfüllt</v>
      </c>
      <c r="W15" s="166">
        <f>IFERROR(IF(V15="erfüllt",F15,0),"")</f>
        <v>0</v>
      </c>
      <c r="X15" s="163"/>
      <c r="Y15" s="163"/>
    </row>
    <row r="16" spans="1:25" ht="14.25" thickBot="1" x14ac:dyDescent="0.25">
      <c r="C16" s="214"/>
      <c r="D16" s="215"/>
      <c r="E16" s="215"/>
      <c r="F16" s="164" t="str">
        <f>IFERROR(IF(OR(C16="",E16=""),"",IF(C16="Tische",E16/Abfrage_Ergebnis!$E$16,IF(C16="Rollcontainer",E16/Abfrage_Ergebnis!$E$17,IF(C16="Stühle",E16/Abfrage_Ergebnis!$E$18,IF(C16="Sessel / Sofas",E16/Abfrage_Ergebnis!$E$19,IF(C16="Stauraummöbel (z.B. Regal-, Schubladen-, Vitrinen)",E16/Abfrage_Ergebnis!$E$20,IF(C16="Kücheneinrichtungen (Ober- oder Unterschrank), Empfangstheken, Coffee Point Thekenelemente o.ä.",E16/Abfrage_Ergebnis!$E$21,IF(C16="Betten",E16/Abfrage_Ergebnis!$E$22,IF(C16="sonstige Möbel",E16/Abfrage_Ergebnis!$E$23))))))))),"")</f>
        <v/>
      </c>
      <c r="G16" s="219"/>
      <c r="H16" s="220"/>
      <c r="I16" s="221"/>
      <c r="J16" s="221"/>
      <c r="K16" s="221"/>
      <c r="L16" s="221"/>
      <c r="M16" s="221"/>
      <c r="N16" s="221"/>
      <c r="O16" s="222"/>
      <c r="P16" s="220"/>
      <c r="Q16" s="221"/>
      <c r="R16" s="221"/>
      <c r="S16" s="221"/>
      <c r="T16" s="221"/>
      <c r="U16" s="223"/>
      <c r="V16" s="165" t="str">
        <f t="shared" ref="V16:V79" si="2">IF(AND(C16&lt;&gt;"",G16="Ja",OR(COUNTIF(H16:O16,"a")&gt;=1,COUNTIF(P16:U16,"a")&gt;=2)),"erfüllt","nicht erfüllt")</f>
        <v>nicht erfüllt</v>
      </c>
      <c r="W16" s="166">
        <f t="shared" ref="W16:W79" si="3">IFERROR(IF(V16="erfüllt",F16,0),"")</f>
        <v>0</v>
      </c>
      <c r="X16" s="163"/>
      <c r="Y16" s="163"/>
    </row>
    <row r="17" spans="3:27" ht="14.25" thickBot="1" x14ac:dyDescent="0.25">
      <c r="C17" s="214"/>
      <c r="D17" s="215"/>
      <c r="E17" s="215"/>
      <c r="F17" s="164" t="str">
        <f>IFERROR(IF(OR(C17="",E17=""),"",IF(C17="Tische",E17/Abfrage_Ergebnis!$E$16,IF(C17="Rollcontainer",E17/Abfrage_Ergebnis!$E$17,IF(C17="Stühle",E17/Abfrage_Ergebnis!$E$18,IF(C17="Sessel / Sofas",E17/Abfrage_Ergebnis!$E$19,IF(C17="Stauraummöbel (z.B. Regal-, Schubladen-, Vitrinen)",E17/Abfrage_Ergebnis!$E$20,IF(C17="Kücheneinrichtungen (Ober- oder Unterschrank), Empfangstheken, Coffee Point Thekenelemente o.ä.",E17/Abfrage_Ergebnis!$E$21,IF(C17="Betten",E17/Abfrage_Ergebnis!$E$22,IF(C17="sonstige Möbel",E17/Abfrage_Ergebnis!$E$23))))))))),"")</f>
        <v/>
      </c>
      <c r="G17" s="219"/>
      <c r="H17" s="220"/>
      <c r="I17" s="221"/>
      <c r="J17" s="221"/>
      <c r="K17" s="221"/>
      <c r="L17" s="221"/>
      <c r="M17" s="221"/>
      <c r="N17" s="221"/>
      <c r="O17" s="222"/>
      <c r="P17" s="220"/>
      <c r="Q17" s="221"/>
      <c r="R17" s="221"/>
      <c r="S17" s="221"/>
      <c r="T17" s="221"/>
      <c r="U17" s="223"/>
      <c r="V17" s="165" t="str">
        <f t="shared" si="2"/>
        <v>nicht erfüllt</v>
      </c>
      <c r="W17" s="166">
        <f t="shared" si="3"/>
        <v>0</v>
      </c>
      <c r="X17" s="163"/>
      <c r="Y17" s="163"/>
    </row>
    <row r="18" spans="3:27" ht="14.25" thickBot="1" x14ac:dyDescent="0.25">
      <c r="C18" s="214"/>
      <c r="D18" s="215"/>
      <c r="E18" s="215"/>
      <c r="F18" s="164" t="str">
        <f>IFERROR(IF(OR(C18="",E18=""),"",IF(C18="Tische",E18/Abfrage_Ergebnis!$E$16,IF(C18="Rollcontainer",E18/Abfrage_Ergebnis!$E$17,IF(C18="Stühle",E18/Abfrage_Ergebnis!$E$18,IF(C18="Sessel / Sofas",E18/Abfrage_Ergebnis!$E$19,IF(C18="Stauraummöbel (z.B. Regal-, Schubladen-, Vitrinen)",E18/Abfrage_Ergebnis!$E$20,IF(C18="Kücheneinrichtungen (Ober- oder Unterschrank), Empfangstheken, Coffee Point Thekenelemente o.ä.",E18/Abfrage_Ergebnis!$E$21,IF(C18="Betten",E18/Abfrage_Ergebnis!$E$22,IF(C18="sonstige Möbel",E18/Abfrage_Ergebnis!$E$23))))))))),"")</f>
        <v/>
      </c>
      <c r="G18" s="219"/>
      <c r="H18" s="220"/>
      <c r="I18" s="221"/>
      <c r="J18" s="221"/>
      <c r="K18" s="221"/>
      <c r="L18" s="221"/>
      <c r="M18" s="221"/>
      <c r="N18" s="221"/>
      <c r="O18" s="222"/>
      <c r="P18" s="220"/>
      <c r="Q18" s="221"/>
      <c r="R18" s="221"/>
      <c r="S18" s="221"/>
      <c r="T18" s="221"/>
      <c r="U18" s="223"/>
      <c r="V18" s="165" t="str">
        <f t="shared" si="2"/>
        <v>nicht erfüllt</v>
      </c>
      <c r="W18" s="166">
        <f t="shared" si="3"/>
        <v>0</v>
      </c>
      <c r="X18" s="163"/>
      <c r="Y18" s="163"/>
    </row>
    <row r="19" spans="3:27" ht="14.25" thickBot="1" x14ac:dyDescent="0.25">
      <c r="C19" s="214"/>
      <c r="D19" s="215"/>
      <c r="E19" s="215"/>
      <c r="F19" s="164" t="str">
        <f>IFERROR(IF(OR(C19="",E19=""),"",IF(C19="Tische",E19/Abfrage_Ergebnis!$E$16,IF(C19="Rollcontainer",E19/Abfrage_Ergebnis!$E$17,IF(C19="Stühle",E19/Abfrage_Ergebnis!$E$18,IF(C19="Sessel / Sofas",E19/Abfrage_Ergebnis!$E$19,IF(C19="Stauraummöbel (z.B. Regal-, Schubladen-, Vitrinen)",E19/Abfrage_Ergebnis!$E$20,IF(C19="Kücheneinrichtungen (Ober- oder Unterschrank), Empfangstheken, Coffee Point Thekenelemente o.ä.",E19/Abfrage_Ergebnis!$E$21,IF(C19="Betten",E19/Abfrage_Ergebnis!$E$22,IF(C19="sonstige Möbel",E19/Abfrage_Ergebnis!$E$23))))))))),"")</f>
        <v/>
      </c>
      <c r="G19" s="219"/>
      <c r="H19" s="220"/>
      <c r="I19" s="221"/>
      <c r="J19" s="221"/>
      <c r="K19" s="221"/>
      <c r="L19" s="221"/>
      <c r="M19" s="221"/>
      <c r="N19" s="221"/>
      <c r="O19" s="222"/>
      <c r="P19" s="220"/>
      <c r="Q19" s="221"/>
      <c r="R19" s="221"/>
      <c r="S19" s="221"/>
      <c r="T19" s="221"/>
      <c r="U19" s="223"/>
      <c r="V19" s="165" t="str">
        <f t="shared" si="2"/>
        <v>nicht erfüllt</v>
      </c>
      <c r="W19" s="166">
        <f t="shared" si="3"/>
        <v>0</v>
      </c>
      <c r="X19" s="163"/>
      <c r="Y19" s="163"/>
    </row>
    <row r="20" spans="3:27" ht="14.25" thickBot="1" x14ac:dyDescent="0.25">
      <c r="C20" s="214"/>
      <c r="D20" s="215"/>
      <c r="E20" s="215"/>
      <c r="F20" s="164" t="str">
        <f>IFERROR(IF(OR(C20="",E20=""),"",IF(C20="Tische",E20/Abfrage_Ergebnis!$E$16,IF(C20="Rollcontainer",E20/Abfrage_Ergebnis!$E$17,IF(C20="Stühle",E20/Abfrage_Ergebnis!$E$18,IF(C20="Sessel / Sofas",E20/Abfrage_Ergebnis!$E$19,IF(C20="Stauraummöbel (z.B. Regal-, Schubladen-, Vitrinen)",E20/Abfrage_Ergebnis!$E$20,IF(C20="Kücheneinrichtungen (Ober- oder Unterschrank), Empfangstheken, Coffee Point Thekenelemente o.ä.",E20/Abfrage_Ergebnis!$E$21,IF(C20="Betten",E20/Abfrage_Ergebnis!$E$22,IF(C20="sonstige Möbel",E20/Abfrage_Ergebnis!$E$23))))))))),"")</f>
        <v/>
      </c>
      <c r="G20" s="219"/>
      <c r="H20" s="220"/>
      <c r="I20" s="221"/>
      <c r="J20" s="221"/>
      <c r="K20" s="221"/>
      <c r="L20" s="221"/>
      <c r="M20" s="221"/>
      <c r="N20" s="221"/>
      <c r="O20" s="222"/>
      <c r="P20" s="220"/>
      <c r="Q20" s="221"/>
      <c r="R20" s="221"/>
      <c r="S20" s="221"/>
      <c r="T20" s="221"/>
      <c r="U20" s="223"/>
      <c r="V20" s="165" t="str">
        <f t="shared" si="2"/>
        <v>nicht erfüllt</v>
      </c>
      <c r="W20" s="166">
        <f t="shared" si="3"/>
        <v>0</v>
      </c>
      <c r="X20" s="163"/>
      <c r="Y20" s="163"/>
    </row>
    <row r="21" spans="3:27" ht="14.25" thickBot="1" x14ac:dyDescent="0.25">
      <c r="C21" s="214"/>
      <c r="D21" s="215"/>
      <c r="E21" s="215"/>
      <c r="F21" s="164" t="str">
        <f>IFERROR(IF(OR(C21="",E21=""),"",IF(C21="Tische",E21/Abfrage_Ergebnis!$E$16,IF(C21="Rollcontainer",E21/Abfrage_Ergebnis!$E$17,IF(C21="Stühle",E21/Abfrage_Ergebnis!$E$18,IF(C21="Sessel / Sofas",E21/Abfrage_Ergebnis!$E$19,IF(C21="Stauraummöbel (z.B. Regal-, Schubladen-, Vitrinen)",E21/Abfrage_Ergebnis!$E$20,IF(C21="Kücheneinrichtungen (Ober- oder Unterschrank), Empfangstheken, Coffee Point Thekenelemente o.ä.",E21/Abfrage_Ergebnis!$E$21,IF(C21="Betten",E21/Abfrage_Ergebnis!$E$22,IF(C21="sonstige Möbel",E21/Abfrage_Ergebnis!$E$23))))))))),"")</f>
        <v/>
      </c>
      <c r="G21" s="219"/>
      <c r="H21" s="220"/>
      <c r="I21" s="221"/>
      <c r="J21" s="221"/>
      <c r="K21" s="221"/>
      <c r="L21" s="221"/>
      <c r="M21" s="221"/>
      <c r="N21" s="221"/>
      <c r="O21" s="222"/>
      <c r="P21" s="220"/>
      <c r="Q21" s="221"/>
      <c r="R21" s="221"/>
      <c r="S21" s="221"/>
      <c r="T21" s="221"/>
      <c r="U21" s="223"/>
      <c r="V21" s="165" t="str">
        <f t="shared" si="2"/>
        <v>nicht erfüllt</v>
      </c>
      <c r="W21" s="166">
        <f t="shared" si="3"/>
        <v>0</v>
      </c>
      <c r="X21" s="163"/>
      <c r="Y21" s="163"/>
    </row>
    <row r="22" spans="3:27" ht="14.25" thickBot="1" x14ac:dyDescent="0.25">
      <c r="C22" s="214"/>
      <c r="D22" s="215"/>
      <c r="E22" s="215"/>
      <c r="F22" s="164" t="str">
        <f>IFERROR(IF(OR(C22="",E22=""),"",IF(C22="Tische",E22/Abfrage_Ergebnis!$E$16,IF(C22="Rollcontainer",E22/Abfrage_Ergebnis!$E$17,IF(C22="Stühle",E22/Abfrage_Ergebnis!$E$18,IF(C22="Sessel / Sofas",E22/Abfrage_Ergebnis!$E$19,IF(C22="Stauraummöbel (z.B. Regal-, Schubladen-, Vitrinen)",E22/Abfrage_Ergebnis!$E$20,IF(C22="Kücheneinrichtungen (Ober- oder Unterschrank), Empfangstheken, Coffee Point Thekenelemente o.ä.",E22/Abfrage_Ergebnis!$E$21,IF(C22="Betten",E22/Abfrage_Ergebnis!$E$22,IF(C22="sonstige Möbel",E22/Abfrage_Ergebnis!$E$23))))))))),"")</f>
        <v/>
      </c>
      <c r="G22" s="219"/>
      <c r="H22" s="220"/>
      <c r="I22" s="221"/>
      <c r="J22" s="221"/>
      <c r="K22" s="221"/>
      <c r="L22" s="221"/>
      <c r="M22" s="221"/>
      <c r="N22" s="221"/>
      <c r="O22" s="222"/>
      <c r="P22" s="220"/>
      <c r="Q22" s="221"/>
      <c r="R22" s="221"/>
      <c r="S22" s="221"/>
      <c r="T22" s="221"/>
      <c r="U22" s="223"/>
      <c r="V22" s="165" t="str">
        <f t="shared" si="2"/>
        <v>nicht erfüllt</v>
      </c>
      <c r="W22" s="166">
        <f t="shared" si="3"/>
        <v>0</v>
      </c>
      <c r="X22" s="163"/>
      <c r="Y22" s="163"/>
    </row>
    <row r="23" spans="3:27" ht="14.25" thickBot="1" x14ac:dyDescent="0.25">
      <c r="C23" s="214"/>
      <c r="D23" s="215"/>
      <c r="E23" s="215"/>
      <c r="F23" s="164" t="str">
        <f>IFERROR(IF(OR(C23="",E23=""),"",IF(C23="Tische",E23/Abfrage_Ergebnis!$E$16,IF(C23="Rollcontainer",E23/Abfrage_Ergebnis!$E$17,IF(C23="Stühle",E23/Abfrage_Ergebnis!$E$18,IF(C23="Sessel / Sofas",E23/Abfrage_Ergebnis!$E$19,IF(C23="Stauraummöbel (z.B. Regal-, Schubladen-, Vitrinen)",E23/Abfrage_Ergebnis!$E$20,IF(C23="Kücheneinrichtungen (Ober- oder Unterschrank), Empfangstheken, Coffee Point Thekenelemente o.ä.",E23/Abfrage_Ergebnis!$E$21,IF(C23="Betten",E23/Abfrage_Ergebnis!$E$22,IF(C23="sonstige Möbel",E23/Abfrage_Ergebnis!$E$23))))))))),"")</f>
        <v/>
      </c>
      <c r="G23" s="219"/>
      <c r="H23" s="220"/>
      <c r="I23" s="221"/>
      <c r="J23" s="221"/>
      <c r="K23" s="221"/>
      <c r="L23" s="221"/>
      <c r="M23" s="221"/>
      <c r="N23" s="221"/>
      <c r="O23" s="222"/>
      <c r="P23" s="220"/>
      <c r="Q23" s="221"/>
      <c r="R23" s="221"/>
      <c r="S23" s="221"/>
      <c r="T23" s="221"/>
      <c r="U23" s="223"/>
      <c r="V23" s="165" t="str">
        <f t="shared" si="2"/>
        <v>nicht erfüllt</v>
      </c>
      <c r="W23" s="166">
        <f t="shared" si="3"/>
        <v>0</v>
      </c>
      <c r="X23" s="163"/>
      <c r="Y23" s="163"/>
    </row>
    <row r="24" spans="3:27" ht="14.25" thickBot="1" x14ac:dyDescent="0.25">
      <c r="C24" s="214"/>
      <c r="D24" s="215"/>
      <c r="E24" s="215"/>
      <c r="F24" s="164" t="str">
        <f>IFERROR(IF(OR(C24="",E24=""),"",IF(C24="Tische",E24/Abfrage_Ergebnis!$E$16,IF(C24="Rollcontainer",E24/Abfrage_Ergebnis!$E$17,IF(C24="Stühle",E24/Abfrage_Ergebnis!$E$18,IF(C24="Sessel / Sofas",E24/Abfrage_Ergebnis!$E$19,IF(C24="Stauraummöbel (z.B. Regal-, Schubladen-, Vitrinen)",E24/Abfrage_Ergebnis!$E$20,IF(C24="Kücheneinrichtungen (Ober- oder Unterschrank), Empfangstheken, Coffee Point Thekenelemente o.ä.",E24/Abfrage_Ergebnis!$E$21,IF(C24="Betten",E24/Abfrage_Ergebnis!$E$22,IF(C24="sonstige Möbel",E24/Abfrage_Ergebnis!$E$23))))))))),"")</f>
        <v/>
      </c>
      <c r="G24" s="219"/>
      <c r="H24" s="220"/>
      <c r="I24" s="221"/>
      <c r="J24" s="221"/>
      <c r="K24" s="221"/>
      <c r="L24" s="221"/>
      <c r="M24" s="221"/>
      <c r="N24" s="221"/>
      <c r="O24" s="222"/>
      <c r="P24" s="220"/>
      <c r="Q24" s="221"/>
      <c r="R24" s="221"/>
      <c r="S24" s="221"/>
      <c r="T24" s="221"/>
      <c r="U24" s="223"/>
      <c r="V24" s="165" t="str">
        <f t="shared" si="2"/>
        <v>nicht erfüllt</v>
      </c>
      <c r="W24" s="166">
        <f t="shared" si="3"/>
        <v>0</v>
      </c>
      <c r="X24" s="163"/>
      <c r="Y24" s="163"/>
    </row>
    <row r="25" spans="3:27" ht="14.25" thickBot="1" x14ac:dyDescent="0.25">
      <c r="C25" s="214"/>
      <c r="D25" s="215"/>
      <c r="E25" s="215"/>
      <c r="F25" s="164" t="str">
        <f>IFERROR(IF(OR(C25="",E25=""),"",IF(C25="Tische",E25/Abfrage_Ergebnis!$E$16,IF(C25="Rollcontainer",E25/Abfrage_Ergebnis!$E$17,IF(C25="Stühle",E25/Abfrage_Ergebnis!$E$18,IF(C25="Sessel / Sofas",E25/Abfrage_Ergebnis!$E$19,IF(C25="Stauraummöbel (z.B. Regal-, Schubladen-, Vitrinen)",E25/Abfrage_Ergebnis!$E$20,IF(C25="Kücheneinrichtungen (Ober- oder Unterschrank), Empfangstheken, Coffee Point Thekenelemente o.ä.",E25/Abfrage_Ergebnis!$E$21,IF(C25="Betten",E25/Abfrage_Ergebnis!$E$22,IF(C25="sonstige Möbel",E25/Abfrage_Ergebnis!$E$23))))))))),"")</f>
        <v/>
      </c>
      <c r="G25" s="219"/>
      <c r="H25" s="220"/>
      <c r="I25" s="221"/>
      <c r="J25" s="221"/>
      <c r="K25" s="221"/>
      <c r="L25" s="221"/>
      <c r="M25" s="221"/>
      <c r="N25" s="221"/>
      <c r="O25" s="222"/>
      <c r="P25" s="220"/>
      <c r="Q25" s="221"/>
      <c r="R25" s="221"/>
      <c r="S25" s="221"/>
      <c r="T25" s="221"/>
      <c r="U25" s="223"/>
      <c r="V25" s="165" t="str">
        <f t="shared" si="2"/>
        <v>nicht erfüllt</v>
      </c>
      <c r="W25" s="166">
        <f t="shared" si="3"/>
        <v>0</v>
      </c>
      <c r="X25" s="163"/>
      <c r="Y25" s="163"/>
    </row>
    <row r="26" spans="3:27" ht="14.25" thickBot="1" x14ac:dyDescent="0.25">
      <c r="C26" s="214"/>
      <c r="D26" s="215"/>
      <c r="E26" s="215"/>
      <c r="F26" s="164" t="str">
        <f>IFERROR(IF(OR(C26="",E26=""),"",IF(C26="Tische",E26/Abfrage_Ergebnis!$E$16,IF(C26="Rollcontainer",E26/Abfrage_Ergebnis!$E$17,IF(C26="Stühle",E26/Abfrage_Ergebnis!$E$18,IF(C26="Sessel / Sofas",E26/Abfrage_Ergebnis!$E$19,IF(C26="Stauraummöbel (z.B. Regal-, Schubladen-, Vitrinen)",E26/Abfrage_Ergebnis!$E$20,IF(C26="Kücheneinrichtungen (Ober- oder Unterschrank), Empfangstheken, Coffee Point Thekenelemente o.ä.",E26/Abfrage_Ergebnis!$E$21,IF(C26="Betten",E26/Abfrage_Ergebnis!$E$22,IF(C26="sonstige Möbel",E26/Abfrage_Ergebnis!$E$23))))))))),"")</f>
        <v/>
      </c>
      <c r="G26" s="219"/>
      <c r="H26" s="220"/>
      <c r="I26" s="221"/>
      <c r="J26" s="221"/>
      <c r="K26" s="221"/>
      <c r="L26" s="221"/>
      <c r="M26" s="221"/>
      <c r="N26" s="221"/>
      <c r="O26" s="222"/>
      <c r="P26" s="220"/>
      <c r="Q26" s="221"/>
      <c r="R26" s="221"/>
      <c r="S26" s="221"/>
      <c r="T26" s="221"/>
      <c r="U26" s="223"/>
      <c r="V26" s="165" t="str">
        <f t="shared" si="2"/>
        <v>nicht erfüllt</v>
      </c>
      <c r="W26" s="166">
        <f t="shared" si="3"/>
        <v>0</v>
      </c>
      <c r="X26" s="163"/>
      <c r="Y26" s="163"/>
    </row>
    <row r="27" spans="3:27" ht="14.25" thickBot="1" x14ac:dyDescent="0.25">
      <c r="C27" s="214"/>
      <c r="D27" s="215"/>
      <c r="E27" s="215"/>
      <c r="F27" s="164" t="str">
        <f>IFERROR(IF(OR(C27="",E27=""),"",IF(C27="Tische",E27/Abfrage_Ergebnis!$E$16,IF(C27="Rollcontainer",E27/Abfrage_Ergebnis!$E$17,IF(C27="Stühle",E27/Abfrage_Ergebnis!$E$18,IF(C27="Sessel / Sofas",E27/Abfrage_Ergebnis!$E$19,IF(C27="Stauraummöbel (z.B. Regal-, Schubladen-, Vitrinen)",E27/Abfrage_Ergebnis!$E$20,IF(C27="Kücheneinrichtungen (Ober- oder Unterschrank), Empfangstheken, Coffee Point Thekenelemente o.ä.",E27/Abfrage_Ergebnis!$E$21,IF(C27="Betten",E27/Abfrage_Ergebnis!$E$22,IF(C27="sonstige Möbel",E27/Abfrage_Ergebnis!$E$23))))))))),"")</f>
        <v/>
      </c>
      <c r="G27" s="219"/>
      <c r="H27" s="220"/>
      <c r="I27" s="221"/>
      <c r="J27" s="221"/>
      <c r="K27" s="221"/>
      <c r="L27" s="221"/>
      <c r="M27" s="221"/>
      <c r="N27" s="221"/>
      <c r="O27" s="222"/>
      <c r="P27" s="220"/>
      <c r="Q27" s="221"/>
      <c r="R27" s="221"/>
      <c r="S27" s="221"/>
      <c r="T27" s="221"/>
      <c r="U27" s="223"/>
      <c r="V27" s="165" t="str">
        <f t="shared" si="2"/>
        <v>nicht erfüllt</v>
      </c>
      <c r="W27" s="166">
        <f t="shared" si="3"/>
        <v>0</v>
      </c>
      <c r="X27" s="163"/>
      <c r="Y27" s="163"/>
      <c r="Z27" s="116"/>
      <c r="AA27" s="116"/>
    </row>
    <row r="28" spans="3:27" ht="14.25" thickBot="1" x14ac:dyDescent="0.25">
      <c r="C28" s="214"/>
      <c r="D28" s="215"/>
      <c r="E28" s="215"/>
      <c r="F28" s="164" t="str">
        <f>IFERROR(IF(OR(C28="",E28=""),"",IF(C28="Tische",E28/Abfrage_Ergebnis!$E$16,IF(C28="Rollcontainer",E28/Abfrage_Ergebnis!$E$17,IF(C28="Stühle",E28/Abfrage_Ergebnis!$E$18,IF(C28="Sessel / Sofas",E28/Abfrage_Ergebnis!$E$19,IF(C28="Stauraummöbel (z.B. Regal-, Schubladen-, Vitrinen)",E28/Abfrage_Ergebnis!$E$20,IF(C28="Kücheneinrichtungen (Ober- oder Unterschrank), Empfangstheken, Coffee Point Thekenelemente o.ä.",E28/Abfrage_Ergebnis!$E$21,IF(C28="Betten",E28/Abfrage_Ergebnis!$E$22,IF(C28="sonstige Möbel",E28/Abfrage_Ergebnis!$E$23))))))))),"")</f>
        <v/>
      </c>
      <c r="G28" s="219"/>
      <c r="H28" s="220"/>
      <c r="I28" s="221"/>
      <c r="J28" s="221"/>
      <c r="K28" s="221"/>
      <c r="L28" s="221"/>
      <c r="M28" s="221"/>
      <c r="N28" s="221"/>
      <c r="O28" s="222"/>
      <c r="P28" s="220"/>
      <c r="Q28" s="221"/>
      <c r="R28" s="221"/>
      <c r="S28" s="221"/>
      <c r="T28" s="221"/>
      <c r="U28" s="223"/>
      <c r="V28" s="165" t="str">
        <f t="shared" si="2"/>
        <v>nicht erfüllt</v>
      </c>
      <c r="W28" s="166">
        <f t="shared" si="3"/>
        <v>0</v>
      </c>
      <c r="X28" s="163"/>
      <c r="Y28" s="163"/>
      <c r="Z28" s="116"/>
      <c r="AA28" s="116"/>
    </row>
    <row r="29" spans="3:27" ht="14.25" outlineLevel="1" thickBot="1" x14ac:dyDescent="0.25">
      <c r="C29" s="214"/>
      <c r="D29" s="215"/>
      <c r="E29" s="215"/>
      <c r="F29" s="164" t="str">
        <f>IFERROR(IF(OR(C29="",E29=""),"",IF(C29="Tische",E29/Abfrage_Ergebnis!$E$16,IF(C29="Rollcontainer",E29/Abfrage_Ergebnis!$E$17,IF(C29="Stühle",E29/Abfrage_Ergebnis!$E$18,IF(C29="Sessel / Sofas",E29/Abfrage_Ergebnis!$E$19,IF(C29="Stauraummöbel (z.B. Regal-, Schubladen-, Vitrinen)",E29/Abfrage_Ergebnis!$E$20,IF(C29="Kücheneinrichtungen (Ober- oder Unterschrank), Empfangstheken, Coffee Point Thekenelemente o.ä.",E29/Abfrage_Ergebnis!$E$21,IF(C29="Betten",E29/Abfrage_Ergebnis!$E$22,IF(C29="sonstige Möbel",E29/Abfrage_Ergebnis!$E$23))))))))),"")</f>
        <v/>
      </c>
      <c r="G29" s="219"/>
      <c r="H29" s="220"/>
      <c r="I29" s="221"/>
      <c r="J29" s="221"/>
      <c r="K29" s="221"/>
      <c r="L29" s="221"/>
      <c r="M29" s="221"/>
      <c r="N29" s="221"/>
      <c r="O29" s="222"/>
      <c r="P29" s="220"/>
      <c r="Q29" s="221"/>
      <c r="R29" s="221"/>
      <c r="S29" s="221"/>
      <c r="T29" s="221"/>
      <c r="U29" s="223"/>
      <c r="V29" s="165" t="str">
        <f t="shared" si="2"/>
        <v>nicht erfüllt</v>
      </c>
      <c r="W29" s="166">
        <f t="shared" si="3"/>
        <v>0</v>
      </c>
      <c r="X29" s="163"/>
      <c r="Y29" s="163"/>
      <c r="Z29" s="116"/>
      <c r="AA29" s="116"/>
    </row>
    <row r="30" spans="3:27" ht="14.25" outlineLevel="1" thickBot="1" x14ac:dyDescent="0.25">
      <c r="C30" s="214"/>
      <c r="D30" s="215"/>
      <c r="E30" s="215"/>
      <c r="F30" s="164" t="str">
        <f>IFERROR(IF(OR(C30="",E30=""),"",IF(C30="Tische",E30/Abfrage_Ergebnis!$E$16,IF(C30="Rollcontainer",E30/Abfrage_Ergebnis!$E$17,IF(C30="Stühle",E30/Abfrage_Ergebnis!$E$18,IF(C30="Sessel / Sofas",E30/Abfrage_Ergebnis!$E$19,IF(C30="Stauraummöbel (z.B. Regal-, Schubladen-, Vitrinen)",E30/Abfrage_Ergebnis!$E$20,IF(C30="Kücheneinrichtungen (Ober- oder Unterschrank), Empfangstheken, Coffee Point Thekenelemente o.ä.",E30/Abfrage_Ergebnis!$E$21,IF(C30="Betten",E30/Abfrage_Ergebnis!$E$22,IF(C30="sonstige Möbel",E30/Abfrage_Ergebnis!$E$23))))))))),"")</f>
        <v/>
      </c>
      <c r="G30" s="219"/>
      <c r="H30" s="220"/>
      <c r="I30" s="221"/>
      <c r="J30" s="221"/>
      <c r="K30" s="221"/>
      <c r="L30" s="221"/>
      <c r="M30" s="221"/>
      <c r="N30" s="221"/>
      <c r="O30" s="222"/>
      <c r="P30" s="220"/>
      <c r="Q30" s="221"/>
      <c r="R30" s="221"/>
      <c r="S30" s="221"/>
      <c r="T30" s="221"/>
      <c r="U30" s="223"/>
      <c r="V30" s="165" t="str">
        <f t="shared" si="2"/>
        <v>nicht erfüllt</v>
      </c>
      <c r="W30" s="166">
        <f t="shared" si="3"/>
        <v>0</v>
      </c>
      <c r="X30" s="163"/>
      <c r="Y30" s="163"/>
      <c r="Z30" s="116"/>
      <c r="AA30" s="116"/>
    </row>
    <row r="31" spans="3:27" ht="14.25" outlineLevel="1" thickBot="1" x14ac:dyDescent="0.25">
      <c r="C31" s="214"/>
      <c r="D31" s="215"/>
      <c r="E31" s="215"/>
      <c r="F31" s="164" t="str">
        <f>IFERROR(IF(OR(C31="",E31=""),"",IF(C31="Tische",E31/Abfrage_Ergebnis!$E$16,IF(C31="Rollcontainer",E31/Abfrage_Ergebnis!$E$17,IF(C31="Stühle",E31/Abfrage_Ergebnis!$E$18,IF(C31="Sessel / Sofas",E31/Abfrage_Ergebnis!$E$19,IF(C31="Stauraummöbel (z.B. Regal-, Schubladen-, Vitrinen)",E31/Abfrage_Ergebnis!$E$20,IF(C31="Kücheneinrichtungen (Ober- oder Unterschrank), Empfangstheken, Coffee Point Thekenelemente o.ä.",E31/Abfrage_Ergebnis!$E$21,IF(C31="Betten",E31/Abfrage_Ergebnis!$E$22,IF(C31="sonstige Möbel",E31/Abfrage_Ergebnis!$E$23))))))))),"")</f>
        <v/>
      </c>
      <c r="G31" s="219"/>
      <c r="H31" s="220"/>
      <c r="I31" s="221"/>
      <c r="J31" s="221"/>
      <c r="K31" s="221"/>
      <c r="L31" s="221"/>
      <c r="M31" s="221"/>
      <c r="N31" s="221"/>
      <c r="O31" s="222"/>
      <c r="P31" s="220"/>
      <c r="Q31" s="221"/>
      <c r="R31" s="221"/>
      <c r="S31" s="221"/>
      <c r="T31" s="221"/>
      <c r="U31" s="223"/>
      <c r="V31" s="165" t="str">
        <f t="shared" si="2"/>
        <v>nicht erfüllt</v>
      </c>
      <c r="W31" s="166">
        <f t="shared" si="3"/>
        <v>0</v>
      </c>
      <c r="X31" s="163"/>
      <c r="Y31" s="163"/>
      <c r="Z31" s="116"/>
      <c r="AA31" s="116"/>
    </row>
    <row r="32" spans="3:27" ht="14.25" outlineLevel="1" thickBot="1" x14ac:dyDescent="0.25">
      <c r="C32" s="214"/>
      <c r="D32" s="215"/>
      <c r="E32" s="215"/>
      <c r="F32" s="164" t="str">
        <f>IFERROR(IF(OR(C32="",E32=""),"",IF(C32="Tische",E32/Abfrage_Ergebnis!$E$16,IF(C32="Rollcontainer",E32/Abfrage_Ergebnis!$E$17,IF(C32="Stühle",E32/Abfrage_Ergebnis!$E$18,IF(C32="Sessel / Sofas",E32/Abfrage_Ergebnis!$E$19,IF(C32="Stauraummöbel (z.B. Regal-, Schubladen-, Vitrinen)",E32/Abfrage_Ergebnis!$E$20,IF(C32="Kücheneinrichtungen (Ober- oder Unterschrank), Empfangstheken, Coffee Point Thekenelemente o.ä.",E32/Abfrage_Ergebnis!$E$21,IF(C32="Betten",E32/Abfrage_Ergebnis!$E$22,IF(C32="sonstige Möbel",E32/Abfrage_Ergebnis!$E$23))))))))),"")</f>
        <v/>
      </c>
      <c r="G32" s="219"/>
      <c r="H32" s="220"/>
      <c r="I32" s="221"/>
      <c r="J32" s="221"/>
      <c r="K32" s="221"/>
      <c r="L32" s="221"/>
      <c r="M32" s="221"/>
      <c r="N32" s="221"/>
      <c r="O32" s="222"/>
      <c r="P32" s="220"/>
      <c r="Q32" s="221"/>
      <c r="R32" s="221"/>
      <c r="S32" s="221"/>
      <c r="T32" s="221"/>
      <c r="U32" s="223"/>
      <c r="V32" s="165" t="str">
        <f t="shared" si="2"/>
        <v>nicht erfüllt</v>
      </c>
      <c r="W32" s="166">
        <f t="shared" si="3"/>
        <v>0</v>
      </c>
      <c r="X32" s="163"/>
      <c r="Y32" s="163"/>
      <c r="Z32" s="116"/>
      <c r="AA32" s="116"/>
    </row>
    <row r="33" spans="3:27" ht="14.25" outlineLevel="1" thickBot="1" x14ac:dyDescent="0.25">
      <c r="C33" s="214"/>
      <c r="D33" s="215"/>
      <c r="E33" s="215"/>
      <c r="F33" s="164" t="str">
        <f>IFERROR(IF(OR(C33="",E33=""),"",IF(C33="Tische",E33/Abfrage_Ergebnis!$E$16,IF(C33="Rollcontainer",E33/Abfrage_Ergebnis!$E$17,IF(C33="Stühle",E33/Abfrage_Ergebnis!$E$18,IF(C33="Sessel / Sofas",E33/Abfrage_Ergebnis!$E$19,IF(C33="Stauraummöbel (z.B. Regal-, Schubladen-, Vitrinen)",E33/Abfrage_Ergebnis!$E$20,IF(C33="Kücheneinrichtungen (Ober- oder Unterschrank), Empfangstheken, Coffee Point Thekenelemente o.ä.",E33/Abfrage_Ergebnis!$E$21,IF(C33="Betten",E33/Abfrage_Ergebnis!$E$22,IF(C33="sonstige Möbel",E33/Abfrage_Ergebnis!$E$23))))))))),"")</f>
        <v/>
      </c>
      <c r="G33" s="219"/>
      <c r="H33" s="220"/>
      <c r="I33" s="221"/>
      <c r="J33" s="221"/>
      <c r="K33" s="221"/>
      <c r="L33" s="221"/>
      <c r="M33" s="221"/>
      <c r="N33" s="221"/>
      <c r="O33" s="222"/>
      <c r="P33" s="220"/>
      <c r="Q33" s="221"/>
      <c r="R33" s="221"/>
      <c r="S33" s="221"/>
      <c r="T33" s="221"/>
      <c r="U33" s="223"/>
      <c r="V33" s="165" t="str">
        <f t="shared" si="2"/>
        <v>nicht erfüllt</v>
      </c>
      <c r="W33" s="166">
        <f t="shared" si="3"/>
        <v>0</v>
      </c>
      <c r="X33" s="163"/>
      <c r="Y33" s="163"/>
      <c r="Z33" s="116"/>
      <c r="AA33" s="116"/>
    </row>
    <row r="34" spans="3:27" ht="14.25" outlineLevel="1" thickBot="1" x14ac:dyDescent="0.25">
      <c r="C34" s="214"/>
      <c r="D34" s="215"/>
      <c r="E34" s="215"/>
      <c r="F34" s="164" t="str">
        <f>IFERROR(IF(OR(C34="",E34=""),"",IF(C34="Tische",E34/Abfrage_Ergebnis!$E$16,IF(C34="Rollcontainer",E34/Abfrage_Ergebnis!$E$17,IF(C34="Stühle",E34/Abfrage_Ergebnis!$E$18,IF(C34="Sessel / Sofas",E34/Abfrage_Ergebnis!$E$19,IF(C34="Stauraummöbel (z.B. Regal-, Schubladen-, Vitrinen)",E34/Abfrage_Ergebnis!$E$20,IF(C34="Kücheneinrichtungen (Ober- oder Unterschrank), Empfangstheken, Coffee Point Thekenelemente o.ä.",E34/Abfrage_Ergebnis!$E$21,IF(C34="Betten",E34/Abfrage_Ergebnis!$E$22,IF(C34="sonstige Möbel",E34/Abfrage_Ergebnis!$E$23))))))))),"")</f>
        <v/>
      </c>
      <c r="G34" s="219"/>
      <c r="H34" s="220"/>
      <c r="I34" s="221"/>
      <c r="J34" s="221"/>
      <c r="K34" s="221"/>
      <c r="L34" s="221"/>
      <c r="M34" s="221"/>
      <c r="N34" s="221"/>
      <c r="O34" s="222"/>
      <c r="P34" s="220"/>
      <c r="Q34" s="221"/>
      <c r="R34" s="221"/>
      <c r="S34" s="221"/>
      <c r="T34" s="221"/>
      <c r="U34" s="223"/>
      <c r="V34" s="165" t="str">
        <f t="shared" si="2"/>
        <v>nicht erfüllt</v>
      </c>
      <c r="W34" s="166">
        <f t="shared" si="3"/>
        <v>0</v>
      </c>
      <c r="X34" s="163"/>
      <c r="Y34" s="163"/>
      <c r="Z34" s="116"/>
      <c r="AA34" s="116"/>
    </row>
    <row r="35" spans="3:27" ht="14.25" outlineLevel="1" thickBot="1" x14ac:dyDescent="0.25">
      <c r="C35" s="214"/>
      <c r="D35" s="215"/>
      <c r="E35" s="215"/>
      <c r="F35" s="164" t="str">
        <f>IFERROR(IF(OR(C35="",E35=""),"",IF(C35="Tische",E35/Abfrage_Ergebnis!$E$16,IF(C35="Rollcontainer",E35/Abfrage_Ergebnis!$E$17,IF(C35="Stühle",E35/Abfrage_Ergebnis!$E$18,IF(C35="Sessel / Sofas",E35/Abfrage_Ergebnis!$E$19,IF(C35="Stauraummöbel (z.B. Regal-, Schubladen-, Vitrinen)",E35/Abfrage_Ergebnis!$E$20,IF(C35="Kücheneinrichtungen (Ober- oder Unterschrank), Empfangstheken, Coffee Point Thekenelemente o.ä.",E35/Abfrage_Ergebnis!$E$21,IF(C35="Betten",E35/Abfrage_Ergebnis!$E$22,IF(C35="sonstige Möbel",E35/Abfrage_Ergebnis!$E$23))))))))),"")</f>
        <v/>
      </c>
      <c r="G35" s="219"/>
      <c r="H35" s="220"/>
      <c r="I35" s="221"/>
      <c r="J35" s="221"/>
      <c r="K35" s="221"/>
      <c r="L35" s="221"/>
      <c r="M35" s="221"/>
      <c r="N35" s="221"/>
      <c r="O35" s="222"/>
      <c r="P35" s="220"/>
      <c r="Q35" s="221"/>
      <c r="R35" s="221"/>
      <c r="S35" s="221"/>
      <c r="T35" s="221"/>
      <c r="U35" s="223"/>
      <c r="V35" s="165" t="str">
        <f t="shared" si="2"/>
        <v>nicht erfüllt</v>
      </c>
      <c r="W35" s="166">
        <f t="shared" si="3"/>
        <v>0</v>
      </c>
      <c r="X35" s="163"/>
      <c r="Y35" s="163"/>
      <c r="Z35" s="116"/>
      <c r="AA35" s="116"/>
    </row>
    <row r="36" spans="3:27" ht="14.25" outlineLevel="1" thickBot="1" x14ac:dyDescent="0.25">
      <c r="C36" s="214"/>
      <c r="D36" s="215"/>
      <c r="E36" s="215"/>
      <c r="F36" s="164" t="str">
        <f>IFERROR(IF(OR(C36="",E36=""),"",IF(C36="Tische",E36/Abfrage_Ergebnis!$E$16,IF(C36="Rollcontainer",E36/Abfrage_Ergebnis!$E$17,IF(C36="Stühle",E36/Abfrage_Ergebnis!$E$18,IF(C36="Sessel / Sofas",E36/Abfrage_Ergebnis!$E$19,IF(C36="Stauraummöbel (z.B. Regal-, Schubladen-, Vitrinen)",E36/Abfrage_Ergebnis!$E$20,IF(C36="Kücheneinrichtungen (Ober- oder Unterschrank), Empfangstheken, Coffee Point Thekenelemente o.ä.",E36/Abfrage_Ergebnis!$E$21,IF(C36="Betten",E36/Abfrage_Ergebnis!$E$22,IF(C36="sonstige Möbel",E36/Abfrage_Ergebnis!$E$23))))))))),"")</f>
        <v/>
      </c>
      <c r="G36" s="219"/>
      <c r="H36" s="220"/>
      <c r="I36" s="221"/>
      <c r="J36" s="221"/>
      <c r="K36" s="221"/>
      <c r="L36" s="221"/>
      <c r="M36" s="221"/>
      <c r="N36" s="221"/>
      <c r="O36" s="222"/>
      <c r="P36" s="220"/>
      <c r="Q36" s="221"/>
      <c r="R36" s="221"/>
      <c r="S36" s="221"/>
      <c r="T36" s="221"/>
      <c r="U36" s="223"/>
      <c r="V36" s="165" t="str">
        <f t="shared" si="2"/>
        <v>nicht erfüllt</v>
      </c>
      <c r="W36" s="166">
        <f t="shared" si="3"/>
        <v>0</v>
      </c>
      <c r="X36" s="163"/>
      <c r="Y36" s="163"/>
      <c r="Z36" s="116"/>
      <c r="AA36" s="116"/>
    </row>
    <row r="37" spans="3:27" ht="14.25" outlineLevel="1" thickBot="1" x14ac:dyDescent="0.25">
      <c r="C37" s="214"/>
      <c r="D37" s="215"/>
      <c r="E37" s="215"/>
      <c r="F37" s="164" t="str">
        <f>IFERROR(IF(OR(C37="",E37=""),"",IF(C37="Tische",E37/Abfrage_Ergebnis!$E$16,IF(C37="Rollcontainer",E37/Abfrage_Ergebnis!$E$17,IF(C37="Stühle",E37/Abfrage_Ergebnis!$E$18,IF(C37="Sessel / Sofas",E37/Abfrage_Ergebnis!$E$19,IF(C37="Stauraummöbel (z.B. Regal-, Schubladen-, Vitrinen)",E37/Abfrage_Ergebnis!$E$20,IF(C37="Kücheneinrichtungen (Ober- oder Unterschrank), Empfangstheken, Coffee Point Thekenelemente o.ä.",E37/Abfrage_Ergebnis!$E$21,IF(C37="Betten",E37/Abfrage_Ergebnis!$E$22,IF(C37="sonstige Möbel",E37/Abfrage_Ergebnis!$E$23))))))))),"")</f>
        <v/>
      </c>
      <c r="G37" s="219"/>
      <c r="H37" s="220"/>
      <c r="I37" s="221"/>
      <c r="J37" s="221"/>
      <c r="K37" s="221"/>
      <c r="L37" s="221"/>
      <c r="M37" s="221"/>
      <c r="N37" s="221"/>
      <c r="O37" s="222"/>
      <c r="P37" s="220"/>
      <c r="Q37" s="221"/>
      <c r="R37" s="221"/>
      <c r="S37" s="221"/>
      <c r="T37" s="221"/>
      <c r="U37" s="223"/>
      <c r="V37" s="165" t="str">
        <f t="shared" si="2"/>
        <v>nicht erfüllt</v>
      </c>
      <c r="W37" s="166">
        <f t="shared" si="3"/>
        <v>0</v>
      </c>
      <c r="X37" s="163"/>
      <c r="Y37" s="163"/>
      <c r="Z37" s="116"/>
      <c r="AA37" s="116"/>
    </row>
    <row r="38" spans="3:27" ht="14.25" outlineLevel="1" thickBot="1" x14ac:dyDescent="0.25">
      <c r="C38" s="214"/>
      <c r="D38" s="215"/>
      <c r="E38" s="215"/>
      <c r="F38" s="164" t="str">
        <f>IFERROR(IF(OR(C38="",E38=""),"",IF(C38="Tische",E38/Abfrage_Ergebnis!$E$16,IF(C38="Rollcontainer",E38/Abfrage_Ergebnis!$E$17,IF(C38="Stühle",E38/Abfrage_Ergebnis!$E$18,IF(C38="Sessel / Sofas",E38/Abfrage_Ergebnis!$E$19,IF(C38="Stauraummöbel (z.B. Regal-, Schubladen-, Vitrinen)",E38/Abfrage_Ergebnis!$E$20,IF(C38="Kücheneinrichtungen (Ober- oder Unterschrank), Empfangstheken, Coffee Point Thekenelemente o.ä.",E38/Abfrage_Ergebnis!$E$21,IF(C38="Betten",E38/Abfrage_Ergebnis!$E$22,IF(C38="sonstige Möbel",E38/Abfrage_Ergebnis!$E$23))))))))),"")</f>
        <v/>
      </c>
      <c r="G38" s="219"/>
      <c r="H38" s="220"/>
      <c r="I38" s="221"/>
      <c r="J38" s="221"/>
      <c r="K38" s="221"/>
      <c r="L38" s="221"/>
      <c r="M38" s="221"/>
      <c r="N38" s="221"/>
      <c r="O38" s="222"/>
      <c r="P38" s="220"/>
      <c r="Q38" s="221"/>
      <c r="R38" s="221"/>
      <c r="S38" s="221"/>
      <c r="T38" s="221"/>
      <c r="U38" s="223"/>
      <c r="V38" s="165" t="str">
        <f t="shared" si="2"/>
        <v>nicht erfüllt</v>
      </c>
      <c r="W38" s="166">
        <f t="shared" si="3"/>
        <v>0</v>
      </c>
      <c r="X38" s="163"/>
      <c r="Y38" s="163"/>
      <c r="Z38" s="116"/>
      <c r="AA38" s="116"/>
    </row>
    <row r="39" spans="3:27" ht="14.25" outlineLevel="1" thickBot="1" x14ac:dyDescent="0.25">
      <c r="C39" s="214"/>
      <c r="D39" s="215"/>
      <c r="E39" s="215"/>
      <c r="F39" s="164" t="str">
        <f>IFERROR(IF(OR(C39="",E39=""),"",IF(C39="Tische",E39/Abfrage_Ergebnis!$E$16,IF(C39="Rollcontainer",E39/Abfrage_Ergebnis!$E$17,IF(C39="Stühle",E39/Abfrage_Ergebnis!$E$18,IF(C39="Sessel / Sofas",E39/Abfrage_Ergebnis!$E$19,IF(C39="Stauraummöbel (z.B. Regal-, Schubladen-, Vitrinen)",E39/Abfrage_Ergebnis!$E$20,IF(C39="Kücheneinrichtungen (Ober- oder Unterschrank), Empfangstheken, Coffee Point Thekenelemente o.ä.",E39/Abfrage_Ergebnis!$E$21,IF(C39="Betten",E39/Abfrage_Ergebnis!$E$22,IF(C39="sonstige Möbel",E39/Abfrage_Ergebnis!$E$23))))))))),"")</f>
        <v/>
      </c>
      <c r="G39" s="219"/>
      <c r="H39" s="220"/>
      <c r="I39" s="221"/>
      <c r="J39" s="221"/>
      <c r="K39" s="221"/>
      <c r="L39" s="221"/>
      <c r="M39" s="221"/>
      <c r="N39" s="221"/>
      <c r="O39" s="222"/>
      <c r="P39" s="220"/>
      <c r="Q39" s="221"/>
      <c r="R39" s="221"/>
      <c r="S39" s="221"/>
      <c r="T39" s="221"/>
      <c r="U39" s="223"/>
      <c r="V39" s="165" t="str">
        <f t="shared" si="2"/>
        <v>nicht erfüllt</v>
      </c>
      <c r="W39" s="166">
        <f t="shared" si="3"/>
        <v>0</v>
      </c>
      <c r="X39" s="163"/>
      <c r="Y39" s="163"/>
      <c r="Z39" s="116"/>
      <c r="AA39" s="116"/>
    </row>
    <row r="40" spans="3:27" ht="14.25" outlineLevel="1" thickBot="1" x14ac:dyDescent="0.25">
      <c r="C40" s="214"/>
      <c r="D40" s="215"/>
      <c r="E40" s="215"/>
      <c r="F40" s="164" t="str">
        <f>IFERROR(IF(OR(C40="",E40=""),"",IF(C40="Tische",E40/Abfrage_Ergebnis!$E$16,IF(C40="Rollcontainer",E40/Abfrage_Ergebnis!$E$17,IF(C40="Stühle",E40/Abfrage_Ergebnis!$E$18,IF(C40="Sessel / Sofas",E40/Abfrage_Ergebnis!$E$19,IF(C40="Stauraummöbel (z.B. Regal-, Schubladen-, Vitrinen)",E40/Abfrage_Ergebnis!$E$20,IF(C40="Kücheneinrichtungen (Ober- oder Unterschrank), Empfangstheken, Coffee Point Thekenelemente o.ä.",E40/Abfrage_Ergebnis!$E$21,IF(C40="Betten",E40/Abfrage_Ergebnis!$E$22,IF(C40="sonstige Möbel",E40/Abfrage_Ergebnis!$E$23))))))))),"")</f>
        <v/>
      </c>
      <c r="G40" s="219"/>
      <c r="H40" s="220"/>
      <c r="I40" s="221"/>
      <c r="J40" s="221"/>
      <c r="K40" s="221"/>
      <c r="L40" s="221"/>
      <c r="M40" s="221"/>
      <c r="N40" s="221"/>
      <c r="O40" s="222"/>
      <c r="P40" s="220"/>
      <c r="Q40" s="221"/>
      <c r="R40" s="221"/>
      <c r="S40" s="221"/>
      <c r="T40" s="221"/>
      <c r="U40" s="223"/>
      <c r="V40" s="165" t="str">
        <f t="shared" si="2"/>
        <v>nicht erfüllt</v>
      </c>
      <c r="W40" s="166">
        <f t="shared" si="3"/>
        <v>0</v>
      </c>
      <c r="X40" s="163"/>
      <c r="Y40" s="163"/>
      <c r="Z40" s="116"/>
      <c r="AA40" s="116"/>
    </row>
    <row r="41" spans="3:27" ht="14.25" outlineLevel="1" thickBot="1" x14ac:dyDescent="0.25">
      <c r="C41" s="214"/>
      <c r="D41" s="215"/>
      <c r="E41" s="215"/>
      <c r="F41" s="164" t="str">
        <f>IFERROR(IF(OR(C41="",E41=""),"",IF(C41="Tische",E41/Abfrage_Ergebnis!$E$16,IF(C41="Rollcontainer",E41/Abfrage_Ergebnis!$E$17,IF(C41="Stühle",E41/Abfrage_Ergebnis!$E$18,IF(C41="Sessel / Sofas",E41/Abfrage_Ergebnis!$E$19,IF(C41="Stauraummöbel (z.B. Regal-, Schubladen-, Vitrinen)",E41/Abfrage_Ergebnis!$E$20,IF(C41="Kücheneinrichtungen (Ober- oder Unterschrank), Empfangstheken, Coffee Point Thekenelemente o.ä.",E41/Abfrage_Ergebnis!$E$21,IF(C41="Betten",E41/Abfrage_Ergebnis!$E$22,IF(C41="sonstige Möbel",E41/Abfrage_Ergebnis!$E$23))))))))),"")</f>
        <v/>
      </c>
      <c r="G41" s="219"/>
      <c r="H41" s="220"/>
      <c r="I41" s="221"/>
      <c r="J41" s="221"/>
      <c r="K41" s="221"/>
      <c r="L41" s="221"/>
      <c r="M41" s="221"/>
      <c r="N41" s="221"/>
      <c r="O41" s="222"/>
      <c r="P41" s="220"/>
      <c r="Q41" s="221"/>
      <c r="R41" s="221"/>
      <c r="S41" s="221"/>
      <c r="T41" s="221"/>
      <c r="U41" s="223"/>
      <c r="V41" s="165" t="str">
        <f t="shared" si="2"/>
        <v>nicht erfüllt</v>
      </c>
      <c r="W41" s="166">
        <f t="shared" si="3"/>
        <v>0</v>
      </c>
      <c r="X41" s="163"/>
      <c r="Y41" s="163"/>
      <c r="Z41" s="116"/>
      <c r="AA41" s="116"/>
    </row>
    <row r="42" spans="3:27" ht="14.25" outlineLevel="1" thickBot="1" x14ac:dyDescent="0.25">
      <c r="C42" s="214"/>
      <c r="D42" s="215"/>
      <c r="E42" s="215"/>
      <c r="F42" s="164" t="str">
        <f>IFERROR(IF(OR(C42="",E42=""),"",IF(C42="Tische",E42/Abfrage_Ergebnis!$E$16,IF(C42="Rollcontainer",E42/Abfrage_Ergebnis!$E$17,IF(C42="Stühle",E42/Abfrage_Ergebnis!$E$18,IF(C42="Sessel / Sofas",E42/Abfrage_Ergebnis!$E$19,IF(C42="Stauraummöbel (z.B. Regal-, Schubladen-, Vitrinen)",E42/Abfrage_Ergebnis!$E$20,IF(C42="Kücheneinrichtungen (Ober- oder Unterschrank), Empfangstheken, Coffee Point Thekenelemente o.ä.",E42/Abfrage_Ergebnis!$E$21,IF(C42="Betten",E42/Abfrage_Ergebnis!$E$22,IF(C42="sonstige Möbel",E42/Abfrage_Ergebnis!$E$23))))))))),"")</f>
        <v/>
      </c>
      <c r="G42" s="219"/>
      <c r="H42" s="220"/>
      <c r="I42" s="221"/>
      <c r="J42" s="221"/>
      <c r="K42" s="221"/>
      <c r="L42" s="221"/>
      <c r="M42" s="221"/>
      <c r="N42" s="221"/>
      <c r="O42" s="222"/>
      <c r="P42" s="220"/>
      <c r="Q42" s="221"/>
      <c r="R42" s="221"/>
      <c r="S42" s="221"/>
      <c r="T42" s="221"/>
      <c r="U42" s="223"/>
      <c r="V42" s="165" t="str">
        <f t="shared" si="2"/>
        <v>nicht erfüllt</v>
      </c>
      <c r="W42" s="166">
        <f t="shared" si="3"/>
        <v>0</v>
      </c>
      <c r="X42" s="163"/>
      <c r="Y42" s="163"/>
      <c r="Z42" s="116"/>
      <c r="AA42" s="116"/>
    </row>
    <row r="43" spans="3:27" ht="14.25" outlineLevel="1" thickBot="1" x14ac:dyDescent="0.25">
      <c r="C43" s="214"/>
      <c r="D43" s="215"/>
      <c r="E43" s="215"/>
      <c r="F43" s="164" t="str">
        <f>IFERROR(IF(OR(C43="",E43=""),"",IF(C43="Tische",E43/Abfrage_Ergebnis!$E$16,IF(C43="Rollcontainer",E43/Abfrage_Ergebnis!$E$17,IF(C43="Stühle",E43/Abfrage_Ergebnis!$E$18,IF(C43="Sessel / Sofas",E43/Abfrage_Ergebnis!$E$19,IF(C43="Stauraummöbel (z.B. Regal-, Schubladen-, Vitrinen)",E43/Abfrage_Ergebnis!$E$20,IF(C43="Kücheneinrichtungen (Ober- oder Unterschrank), Empfangstheken, Coffee Point Thekenelemente o.ä.",E43/Abfrage_Ergebnis!$E$21,IF(C43="Betten",E43/Abfrage_Ergebnis!$E$22,IF(C43="sonstige Möbel",E43/Abfrage_Ergebnis!$E$23))))))))),"")</f>
        <v/>
      </c>
      <c r="G43" s="219"/>
      <c r="H43" s="220"/>
      <c r="I43" s="221"/>
      <c r="J43" s="221"/>
      <c r="K43" s="221"/>
      <c r="L43" s="221"/>
      <c r="M43" s="221"/>
      <c r="N43" s="221"/>
      <c r="O43" s="222"/>
      <c r="P43" s="220"/>
      <c r="Q43" s="221"/>
      <c r="R43" s="221"/>
      <c r="S43" s="221"/>
      <c r="T43" s="221"/>
      <c r="U43" s="223"/>
      <c r="V43" s="165" t="str">
        <f t="shared" si="2"/>
        <v>nicht erfüllt</v>
      </c>
      <c r="W43" s="166">
        <f t="shared" si="3"/>
        <v>0</v>
      </c>
      <c r="X43" s="163"/>
      <c r="Y43" s="163"/>
      <c r="Z43" s="116"/>
      <c r="AA43" s="116"/>
    </row>
    <row r="44" spans="3:27" ht="14.25" outlineLevel="1" thickBot="1" x14ac:dyDescent="0.25">
      <c r="C44" s="214"/>
      <c r="D44" s="215"/>
      <c r="E44" s="215"/>
      <c r="F44" s="164" t="str">
        <f>IFERROR(IF(OR(C44="",E44=""),"",IF(C44="Tische",E44/Abfrage_Ergebnis!$E$16,IF(C44="Rollcontainer",E44/Abfrage_Ergebnis!$E$17,IF(C44="Stühle",E44/Abfrage_Ergebnis!$E$18,IF(C44="Sessel / Sofas",E44/Abfrage_Ergebnis!$E$19,IF(C44="Stauraummöbel (z.B. Regal-, Schubladen-, Vitrinen)",E44/Abfrage_Ergebnis!$E$20,IF(C44="Kücheneinrichtungen (Ober- oder Unterschrank), Empfangstheken, Coffee Point Thekenelemente o.ä.",E44/Abfrage_Ergebnis!$E$21,IF(C44="Betten",E44/Abfrage_Ergebnis!$E$22,IF(C44="sonstige Möbel",E44/Abfrage_Ergebnis!$E$23))))))))),"")</f>
        <v/>
      </c>
      <c r="G44" s="219"/>
      <c r="H44" s="220"/>
      <c r="I44" s="221"/>
      <c r="J44" s="221"/>
      <c r="K44" s="221"/>
      <c r="L44" s="221"/>
      <c r="M44" s="221"/>
      <c r="N44" s="221"/>
      <c r="O44" s="222"/>
      <c r="P44" s="220"/>
      <c r="Q44" s="221"/>
      <c r="R44" s="221"/>
      <c r="S44" s="221"/>
      <c r="T44" s="221"/>
      <c r="U44" s="223"/>
      <c r="V44" s="165" t="str">
        <f t="shared" si="2"/>
        <v>nicht erfüllt</v>
      </c>
      <c r="W44" s="166">
        <f t="shared" si="3"/>
        <v>0</v>
      </c>
      <c r="X44" s="163"/>
      <c r="Y44" s="163"/>
      <c r="Z44" s="116"/>
      <c r="AA44" s="116"/>
    </row>
    <row r="45" spans="3:27" ht="14.25" outlineLevel="1" thickBot="1" x14ac:dyDescent="0.25">
      <c r="C45" s="214"/>
      <c r="D45" s="215"/>
      <c r="E45" s="215"/>
      <c r="F45" s="164" t="str">
        <f>IFERROR(IF(OR(C45="",E45=""),"",IF(C45="Tische",E45/Abfrage_Ergebnis!$E$16,IF(C45="Rollcontainer",E45/Abfrage_Ergebnis!$E$17,IF(C45="Stühle",E45/Abfrage_Ergebnis!$E$18,IF(C45="Sessel / Sofas",E45/Abfrage_Ergebnis!$E$19,IF(C45="Stauraummöbel (z.B. Regal-, Schubladen-, Vitrinen)",E45/Abfrage_Ergebnis!$E$20,IF(C45="Kücheneinrichtungen (Ober- oder Unterschrank), Empfangstheken, Coffee Point Thekenelemente o.ä.",E45/Abfrage_Ergebnis!$E$21,IF(C45="Betten",E45/Abfrage_Ergebnis!$E$22,IF(C45="sonstige Möbel",E45/Abfrage_Ergebnis!$E$23))))))))),"")</f>
        <v/>
      </c>
      <c r="G45" s="219"/>
      <c r="H45" s="220"/>
      <c r="I45" s="221"/>
      <c r="J45" s="221"/>
      <c r="K45" s="221"/>
      <c r="L45" s="221"/>
      <c r="M45" s="221"/>
      <c r="N45" s="221"/>
      <c r="O45" s="222"/>
      <c r="P45" s="220"/>
      <c r="Q45" s="221"/>
      <c r="R45" s="221"/>
      <c r="S45" s="221"/>
      <c r="T45" s="221"/>
      <c r="U45" s="223"/>
      <c r="V45" s="165" t="str">
        <f t="shared" si="2"/>
        <v>nicht erfüllt</v>
      </c>
      <c r="W45" s="166">
        <f t="shared" si="3"/>
        <v>0</v>
      </c>
      <c r="X45" s="163"/>
      <c r="Y45" s="163"/>
      <c r="Z45" s="116"/>
      <c r="AA45" s="116"/>
    </row>
    <row r="46" spans="3:27" ht="14.25" outlineLevel="1" thickBot="1" x14ac:dyDescent="0.25">
      <c r="C46" s="214"/>
      <c r="D46" s="215"/>
      <c r="E46" s="215"/>
      <c r="F46" s="164" t="str">
        <f>IFERROR(IF(OR(C46="",E46=""),"",IF(C46="Tische",E46/Abfrage_Ergebnis!$E$16,IF(C46="Rollcontainer",E46/Abfrage_Ergebnis!$E$17,IF(C46="Stühle",E46/Abfrage_Ergebnis!$E$18,IF(C46="Sessel / Sofas",E46/Abfrage_Ergebnis!$E$19,IF(C46="Stauraummöbel (z.B. Regal-, Schubladen-, Vitrinen)",E46/Abfrage_Ergebnis!$E$20,IF(C46="Kücheneinrichtungen (Ober- oder Unterschrank), Empfangstheken, Coffee Point Thekenelemente o.ä.",E46/Abfrage_Ergebnis!$E$21,IF(C46="Betten",E46/Abfrage_Ergebnis!$E$22,IF(C46="sonstige Möbel",E46/Abfrage_Ergebnis!$E$23))))))))),"")</f>
        <v/>
      </c>
      <c r="G46" s="219"/>
      <c r="H46" s="220"/>
      <c r="I46" s="221"/>
      <c r="J46" s="221"/>
      <c r="K46" s="221"/>
      <c r="L46" s="221"/>
      <c r="M46" s="221"/>
      <c r="N46" s="221"/>
      <c r="O46" s="222"/>
      <c r="P46" s="220"/>
      <c r="Q46" s="221"/>
      <c r="R46" s="221"/>
      <c r="S46" s="221"/>
      <c r="T46" s="221"/>
      <c r="U46" s="223"/>
      <c r="V46" s="165" t="str">
        <f t="shared" si="2"/>
        <v>nicht erfüllt</v>
      </c>
      <c r="W46" s="166">
        <f t="shared" si="3"/>
        <v>0</v>
      </c>
      <c r="X46" s="163"/>
      <c r="Y46" s="163"/>
      <c r="Z46" s="116"/>
      <c r="AA46" s="116"/>
    </row>
    <row r="47" spans="3:27" ht="14.25" outlineLevel="1" thickBot="1" x14ac:dyDescent="0.25">
      <c r="C47" s="214"/>
      <c r="D47" s="215"/>
      <c r="E47" s="215"/>
      <c r="F47" s="164" t="str">
        <f>IFERROR(IF(OR(C47="",E47=""),"",IF(C47="Tische",E47/Abfrage_Ergebnis!$E$16,IF(C47="Rollcontainer",E47/Abfrage_Ergebnis!$E$17,IF(C47="Stühle",E47/Abfrage_Ergebnis!$E$18,IF(C47="Sessel / Sofas",E47/Abfrage_Ergebnis!$E$19,IF(C47="Stauraummöbel (z.B. Regal-, Schubladen-, Vitrinen)",E47/Abfrage_Ergebnis!$E$20,IF(C47="Kücheneinrichtungen (Ober- oder Unterschrank), Empfangstheken, Coffee Point Thekenelemente o.ä.",E47/Abfrage_Ergebnis!$E$21,IF(C47="Betten",E47/Abfrage_Ergebnis!$E$22,IF(C47="sonstige Möbel",E47/Abfrage_Ergebnis!$E$23))))))))),"")</f>
        <v/>
      </c>
      <c r="G47" s="219"/>
      <c r="H47" s="220"/>
      <c r="I47" s="221"/>
      <c r="J47" s="221"/>
      <c r="K47" s="221"/>
      <c r="L47" s="221"/>
      <c r="M47" s="221"/>
      <c r="N47" s="221"/>
      <c r="O47" s="222"/>
      <c r="P47" s="220"/>
      <c r="Q47" s="221"/>
      <c r="R47" s="221"/>
      <c r="S47" s="221"/>
      <c r="T47" s="221"/>
      <c r="U47" s="223"/>
      <c r="V47" s="165" t="str">
        <f t="shared" si="2"/>
        <v>nicht erfüllt</v>
      </c>
      <c r="W47" s="166">
        <f t="shared" si="3"/>
        <v>0</v>
      </c>
      <c r="X47" s="163"/>
      <c r="Y47" s="163"/>
      <c r="Z47" s="116"/>
      <c r="AA47" s="116"/>
    </row>
    <row r="48" spans="3:27" ht="14.25" outlineLevel="1" thickBot="1" x14ac:dyDescent="0.25">
      <c r="C48" s="214"/>
      <c r="D48" s="215"/>
      <c r="E48" s="215"/>
      <c r="F48" s="164" t="str">
        <f>IFERROR(IF(OR(C48="",E48=""),"",IF(C48="Tische",E48/Abfrage_Ergebnis!$E$16,IF(C48="Rollcontainer",E48/Abfrage_Ergebnis!$E$17,IF(C48="Stühle",E48/Abfrage_Ergebnis!$E$18,IF(C48="Sessel / Sofas",E48/Abfrage_Ergebnis!$E$19,IF(C48="Stauraummöbel (z.B. Regal-, Schubladen-, Vitrinen)",E48/Abfrage_Ergebnis!$E$20,IF(C48="Kücheneinrichtungen (Ober- oder Unterschrank), Empfangstheken, Coffee Point Thekenelemente o.ä.",E48/Abfrage_Ergebnis!$E$21,IF(C48="Betten",E48/Abfrage_Ergebnis!$E$22,IF(C48="sonstige Möbel",E48/Abfrage_Ergebnis!$E$23))))))))),"")</f>
        <v/>
      </c>
      <c r="G48" s="219"/>
      <c r="H48" s="220"/>
      <c r="I48" s="221"/>
      <c r="J48" s="221"/>
      <c r="K48" s="221"/>
      <c r="L48" s="221"/>
      <c r="M48" s="221"/>
      <c r="N48" s="221"/>
      <c r="O48" s="222"/>
      <c r="P48" s="220"/>
      <c r="Q48" s="221"/>
      <c r="R48" s="221"/>
      <c r="S48" s="221"/>
      <c r="T48" s="221"/>
      <c r="U48" s="223"/>
      <c r="V48" s="165" t="str">
        <f t="shared" si="2"/>
        <v>nicht erfüllt</v>
      </c>
      <c r="W48" s="166">
        <f t="shared" si="3"/>
        <v>0</v>
      </c>
      <c r="X48" s="163"/>
      <c r="Y48" s="163"/>
      <c r="Z48" s="116"/>
      <c r="AA48" s="116"/>
    </row>
    <row r="49" spans="1:27" ht="14.25" outlineLevel="1" thickBot="1" x14ac:dyDescent="0.25">
      <c r="C49" s="214"/>
      <c r="D49" s="215"/>
      <c r="E49" s="215"/>
      <c r="F49" s="164" t="str">
        <f>IFERROR(IF(OR(C49="",E49=""),"",IF(C49="Tische",E49/Abfrage_Ergebnis!$E$16,IF(C49="Rollcontainer",E49/Abfrage_Ergebnis!$E$17,IF(C49="Stühle",E49/Abfrage_Ergebnis!$E$18,IF(C49="Sessel / Sofas",E49/Abfrage_Ergebnis!$E$19,IF(C49="Stauraummöbel (z.B. Regal-, Schubladen-, Vitrinen)",E49/Abfrage_Ergebnis!$E$20,IF(C49="Kücheneinrichtungen (Ober- oder Unterschrank), Empfangstheken, Coffee Point Thekenelemente o.ä.",E49/Abfrage_Ergebnis!$E$21,IF(C49="Betten",E49/Abfrage_Ergebnis!$E$22,IF(C49="sonstige Möbel",E49/Abfrage_Ergebnis!$E$23))))))))),"")</f>
        <v/>
      </c>
      <c r="G49" s="219"/>
      <c r="H49" s="220"/>
      <c r="I49" s="221"/>
      <c r="J49" s="221"/>
      <c r="K49" s="221"/>
      <c r="L49" s="221"/>
      <c r="M49" s="221"/>
      <c r="N49" s="221"/>
      <c r="O49" s="222"/>
      <c r="P49" s="220"/>
      <c r="Q49" s="221"/>
      <c r="R49" s="221"/>
      <c r="S49" s="221"/>
      <c r="T49" s="221"/>
      <c r="U49" s="223"/>
      <c r="V49" s="165" t="str">
        <f t="shared" si="2"/>
        <v>nicht erfüllt</v>
      </c>
      <c r="W49" s="166">
        <f t="shared" si="3"/>
        <v>0</v>
      </c>
      <c r="X49" s="163"/>
      <c r="Y49" s="163"/>
      <c r="Z49" s="116"/>
      <c r="AA49" s="116"/>
    </row>
    <row r="50" spans="1:27" ht="14.25" outlineLevel="1" thickBot="1" x14ac:dyDescent="0.25">
      <c r="C50" s="214"/>
      <c r="D50" s="215"/>
      <c r="E50" s="215"/>
      <c r="F50" s="164" t="str">
        <f>IFERROR(IF(OR(C50="",E50=""),"",IF(C50="Tische",E50/Abfrage_Ergebnis!$E$16,IF(C50="Rollcontainer",E50/Abfrage_Ergebnis!$E$17,IF(C50="Stühle",E50/Abfrage_Ergebnis!$E$18,IF(C50="Sessel / Sofas",E50/Abfrage_Ergebnis!$E$19,IF(C50="Stauraummöbel (z.B. Regal-, Schubladen-, Vitrinen)",E50/Abfrage_Ergebnis!$E$20,IF(C50="Kücheneinrichtungen (Ober- oder Unterschrank), Empfangstheken, Coffee Point Thekenelemente o.ä.",E50/Abfrage_Ergebnis!$E$21,IF(C50="Betten",E50/Abfrage_Ergebnis!$E$22,IF(C50="sonstige Möbel",E50/Abfrage_Ergebnis!$E$23))))))))),"")</f>
        <v/>
      </c>
      <c r="G50" s="219"/>
      <c r="H50" s="220"/>
      <c r="I50" s="221"/>
      <c r="J50" s="221"/>
      <c r="K50" s="221"/>
      <c r="L50" s="221"/>
      <c r="M50" s="221"/>
      <c r="N50" s="221"/>
      <c r="O50" s="222"/>
      <c r="P50" s="220"/>
      <c r="Q50" s="221"/>
      <c r="R50" s="221"/>
      <c r="S50" s="221"/>
      <c r="T50" s="221"/>
      <c r="U50" s="223"/>
      <c r="V50" s="165" t="str">
        <f t="shared" si="2"/>
        <v>nicht erfüllt</v>
      </c>
      <c r="W50" s="166">
        <f t="shared" si="3"/>
        <v>0</v>
      </c>
      <c r="X50" s="163"/>
      <c r="Y50" s="163"/>
      <c r="Z50" s="116"/>
      <c r="AA50" s="116"/>
    </row>
    <row r="51" spans="1:27" ht="14.25" outlineLevel="1" thickBot="1" x14ac:dyDescent="0.25">
      <c r="A51" s="116"/>
      <c r="B51" s="116"/>
      <c r="C51" s="214"/>
      <c r="D51" s="215"/>
      <c r="E51" s="215"/>
      <c r="F51" s="164" t="str">
        <f>IFERROR(IF(OR(C51="",E51=""),"",IF(C51="Tische",E51/Abfrage_Ergebnis!$E$16,IF(C51="Rollcontainer",E51/Abfrage_Ergebnis!$E$17,IF(C51="Stühle",E51/Abfrage_Ergebnis!$E$18,IF(C51="Sessel / Sofas",E51/Abfrage_Ergebnis!$E$19,IF(C51="Stauraummöbel (z.B. Regal-, Schubladen-, Vitrinen)",E51/Abfrage_Ergebnis!$E$20,IF(C51="Kücheneinrichtungen (Ober- oder Unterschrank), Empfangstheken, Coffee Point Thekenelemente o.ä.",E51/Abfrage_Ergebnis!$E$21,IF(C51="Betten",E51/Abfrage_Ergebnis!$E$22,IF(C51="sonstige Möbel",E51/Abfrage_Ergebnis!$E$23))))))))),"")</f>
        <v/>
      </c>
      <c r="G51" s="219"/>
      <c r="H51" s="220"/>
      <c r="I51" s="221"/>
      <c r="J51" s="221"/>
      <c r="K51" s="221"/>
      <c r="L51" s="221"/>
      <c r="M51" s="221"/>
      <c r="N51" s="221"/>
      <c r="O51" s="222"/>
      <c r="P51" s="220"/>
      <c r="Q51" s="221"/>
      <c r="R51" s="221"/>
      <c r="S51" s="221"/>
      <c r="T51" s="221"/>
      <c r="U51" s="223"/>
      <c r="V51" s="165" t="str">
        <f t="shared" si="2"/>
        <v>nicht erfüllt</v>
      </c>
      <c r="W51" s="166">
        <f t="shared" si="3"/>
        <v>0</v>
      </c>
      <c r="X51" s="163"/>
      <c r="Y51" s="163"/>
      <c r="Z51" s="116"/>
      <c r="AA51" s="116"/>
    </row>
    <row r="52" spans="1:27" ht="14.25" outlineLevel="1" thickBot="1" x14ac:dyDescent="0.25">
      <c r="C52" s="214"/>
      <c r="D52" s="215"/>
      <c r="E52" s="215"/>
      <c r="F52" s="164" t="str">
        <f>IFERROR(IF(OR(C52="",E52=""),"",IF(C52="Tische",E52/Abfrage_Ergebnis!$E$16,IF(C52="Rollcontainer",E52/Abfrage_Ergebnis!$E$17,IF(C52="Stühle",E52/Abfrage_Ergebnis!$E$18,IF(C52="Sessel / Sofas",E52/Abfrage_Ergebnis!$E$19,IF(C52="Stauraummöbel (z.B. Regal-, Schubladen-, Vitrinen)",E52/Abfrage_Ergebnis!$E$20,IF(C52="Kücheneinrichtungen (Ober- oder Unterschrank), Empfangstheken, Coffee Point Thekenelemente o.ä.",E52/Abfrage_Ergebnis!$E$21,IF(C52="Betten",E52/Abfrage_Ergebnis!$E$22,IF(C52="sonstige Möbel",E52/Abfrage_Ergebnis!$E$23))))))))),"")</f>
        <v/>
      </c>
      <c r="G52" s="219"/>
      <c r="H52" s="220"/>
      <c r="I52" s="221"/>
      <c r="J52" s="221"/>
      <c r="K52" s="221"/>
      <c r="L52" s="221"/>
      <c r="M52" s="221"/>
      <c r="N52" s="221"/>
      <c r="O52" s="222"/>
      <c r="P52" s="220"/>
      <c r="Q52" s="221"/>
      <c r="R52" s="221"/>
      <c r="S52" s="221"/>
      <c r="T52" s="221"/>
      <c r="U52" s="223"/>
      <c r="V52" s="165" t="str">
        <f t="shared" si="2"/>
        <v>nicht erfüllt</v>
      </c>
      <c r="W52" s="166">
        <f t="shared" si="3"/>
        <v>0</v>
      </c>
      <c r="X52" s="163"/>
      <c r="Y52" s="163"/>
      <c r="Z52" s="116"/>
      <c r="AA52" s="116"/>
    </row>
    <row r="53" spans="1:27" ht="14.25" outlineLevel="1" thickBot="1" x14ac:dyDescent="0.25">
      <c r="A53" s="116"/>
      <c r="B53" s="116"/>
      <c r="C53" s="214"/>
      <c r="D53" s="215"/>
      <c r="E53" s="215"/>
      <c r="F53" s="164" t="str">
        <f>IFERROR(IF(OR(C53="",E53=""),"",IF(C53="Tische",E53/Abfrage_Ergebnis!$E$16,IF(C53="Rollcontainer",E53/Abfrage_Ergebnis!$E$17,IF(C53="Stühle",E53/Abfrage_Ergebnis!$E$18,IF(C53="Sessel / Sofas",E53/Abfrage_Ergebnis!$E$19,IF(C53="Stauraummöbel (z.B. Regal-, Schubladen-, Vitrinen)",E53/Abfrage_Ergebnis!$E$20,IF(C53="Kücheneinrichtungen (Ober- oder Unterschrank), Empfangstheken, Coffee Point Thekenelemente o.ä.",E53/Abfrage_Ergebnis!$E$21,IF(C53="Betten",E53/Abfrage_Ergebnis!$E$22,IF(C53="sonstige Möbel",E53/Abfrage_Ergebnis!$E$23))))))))),"")</f>
        <v/>
      </c>
      <c r="G53" s="219"/>
      <c r="H53" s="220"/>
      <c r="I53" s="221"/>
      <c r="J53" s="221"/>
      <c r="K53" s="221"/>
      <c r="L53" s="221"/>
      <c r="M53" s="221"/>
      <c r="N53" s="221"/>
      <c r="O53" s="222"/>
      <c r="P53" s="220"/>
      <c r="Q53" s="221"/>
      <c r="R53" s="221"/>
      <c r="S53" s="221"/>
      <c r="T53" s="221"/>
      <c r="U53" s="223"/>
      <c r="V53" s="165" t="str">
        <f t="shared" si="2"/>
        <v>nicht erfüllt</v>
      </c>
      <c r="W53" s="166">
        <f t="shared" si="3"/>
        <v>0</v>
      </c>
      <c r="X53" s="163"/>
      <c r="Y53" s="163"/>
      <c r="Z53" s="116"/>
      <c r="AA53" s="116"/>
    </row>
    <row r="54" spans="1:27" ht="14.25" outlineLevel="1" thickBot="1" x14ac:dyDescent="0.25">
      <c r="C54" s="214"/>
      <c r="D54" s="215"/>
      <c r="E54" s="215"/>
      <c r="F54" s="164" t="str">
        <f>IFERROR(IF(OR(C54="",E54=""),"",IF(C54="Tische",E54/Abfrage_Ergebnis!$E$16,IF(C54="Rollcontainer",E54/Abfrage_Ergebnis!$E$17,IF(C54="Stühle",E54/Abfrage_Ergebnis!$E$18,IF(C54="Sessel / Sofas",E54/Abfrage_Ergebnis!$E$19,IF(C54="Stauraummöbel (z.B. Regal-, Schubladen-, Vitrinen)",E54/Abfrage_Ergebnis!$E$20,IF(C54="Kücheneinrichtungen (Ober- oder Unterschrank), Empfangstheken, Coffee Point Thekenelemente o.ä.",E54/Abfrage_Ergebnis!$E$21,IF(C54="Betten",E54/Abfrage_Ergebnis!$E$22,IF(C54="sonstige Möbel",E54/Abfrage_Ergebnis!$E$23))))))))),"")</f>
        <v/>
      </c>
      <c r="G54" s="219"/>
      <c r="H54" s="220"/>
      <c r="I54" s="221"/>
      <c r="J54" s="221"/>
      <c r="K54" s="221"/>
      <c r="L54" s="221"/>
      <c r="M54" s="221"/>
      <c r="N54" s="221"/>
      <c r="O54" s="222"/>
      <c r="P54" s="220"/>
      <c r="Q54" s="221"/>
      <c r="R54" s="221"/>
      <c r="S54" s="221"/>
      <c r="T54" s="221"/>
      <c r="U54" s="223"/>
      <c r="V54" s="165" t="str">
        <f t="shared" si="2"/>
        <v>nicht erfüllt</v>
      </c>
      <c r="W54" s="166">
        <f t="shared" si="3"/>
        <v>0</v>
      </c>
      <c r="X54" s="163"/>
      <c r="Y54" s="163"/>
      <c r="Z54" s="116"/>
      <c r="AA54" s="116"/>
    </row>
    <row r="55" spans="1:27" ht="14.25" outlineLevel="1" thickBot="1" x14ac:dyDescent="0.25">
      <c r="C55" s="214"/>
      <c r="D55" s="215"/>
      <c r="E55" s="215"/>
      <c r="F55" s="164" t="str">
        <f>IFERROR(IF(OR(C55="",E55=""),"",IF(C55="Tische",E55/Abfrage_Ergebnis!$E$16,IF(C55="Rollcontainer",E55/Abfrage_Ergebnis!$E$17,IF(C55="Stühle",E55/Abfrage_Ergebnis!$E$18,IF(C55="Sessel / Sofas",E55/Abfrage_Ergebnis!$E$19,IF(C55="Stauraummöbel (z.B. Regal-, Schubladen-, Vitrinen)",E55/Abfrage_Ergebnis!$E$20,IF(C55="Kücheneinrichtungen (Ober- oder Unterschrank), Empfangstheken, Coffee Point Thekenelemente o.ä.",E55/Abfrage_Ergebnis!$E$21,IF(C55="Betten",E55/Abfrage_Ergebnis!$E$22,IF(C55="sonstige Möbel",E55/Abfrage_Ergebnis!$E$23))))))))),"")</f>
        <v/>
      </c>
      <c r="G55" s="219"/>
      <c r="H55" s="220"/>
      <c r="I55" s="221"/>
      <c r="J55" s="221"/>
      <c r="K55" s="221"/>
      <c r="L55" s="221"/>
      <c r="M55" s="221"/>
      <c r="N55" s="221"/>
      <c r="O55" s="222"/>
      <c r="P55" s="220"/>
      <c r="Q55" s="221"/>
      <c r="R55" s="221"/>
      <c r="S55" s="221"/>
      <c r="T55" s="221"/>
      <c r="U55" s="223"/>
      <c r="V55" s="165" t="str">
        <f t="shared" si="2"/>
        <v>nicht erfüllt</v>
      </c>
      <c r="W55" s="166">
        <f t="shared" si="3"/>
        <v>0</v>
      </c>
      <c r="X55" s="163"/>
      <c r="Y55" s="163"/>
      <c r="Z55" s="116"/>
      <c r="AA55" s="116"/>
    </row>
    <row r="56" spans="1:27" ht="14.25" outlineLevel="1" thickBot="1" x14ac:dyDescent="0.25">
      <c r="C56" s="214"/>
      <c r="D56" s="215"/>
      <c r="E56" s="215"/>
      <c r="F56" s="164" t="str">
        <f>IFERROR(IF(OR(C56="",E56=""),"",IF(C56="Tische",E56/Abfrage_Ergebnis!$E$16,IF(C56="Rollcontainer",E56/Abfrage_Ergebnis!$E$17,IF(C56="Stühle",E56/Abfrage_Ergebnis!$E$18,IF(C56="Sessel / Sofas",E56/Abfrage_Ergebnis!$E$19,IF(C56="Stauraummöbel (z.B. Regal-, Schubladen-, Vitrinen)",E56/Abfrage_Ergebnis!$E$20,IF(C56="Kücheneinrichtungen (Ober- oder Unterschrank), Empfangstheken, Coffee Point Thekenelemente o.ä.",E56/Abfrage_Ergebnis!$E$21,IF(C56="Betten",E56/Abfrage_Ergebnis!$E$22,IF(C56="sonstige Möbel",E56/Abfrage_Ergebnis!$E$23))))))))),"")</f>
        <v/>
      </c>
      <c r="G56" s="219"/>
      <c r="H56" s="220"/>
      <c r="I56" s="221"/>
      <c r="J56" s="221"/>
      <c r="K56" s="221"/>
      <c r="L56" s="221"/>
      <c r="M56" s="221"/>
      <c r="N56" s="221"/>
      <c r="O56" s="222"/>
      <c r="P56" s="220"/>
      <c r="Q56" s="221"/>
      <c r="R56" s="221"/>
      <c r="S56" s="221"/>
      <c r="T56" s="221"/>
      <c r="U56" s="223"/>
      <c r="V56" s="165" t="str">
        <f t="shared" si="2"/>
        <v>nicht erfüllt</v>
      </c>
      <c r="W56" s="166">
        <f t="shared" si="3"/>
        <v>0</v>
      </c>
      <c r="X56" s="163"/>
      <c r="Y56" s="163"/>
      <c r="Z56" s="116"/>
      <c r="AA56" s="116"/>
    </row>
    <row r="57" spans="1:27" ht="14.25" outlineLevel="1" thickBot="1" x14ac:dyDescent="0.25">
      <c r="A57" s="116"/>
      <c r="B57" s="116"/>
      <c r="C57" s="214"/>
      <c r="D57" s="215"/>
      <c r="E57" s="215"/>
      <c r="F57" s="164" t="str">
        <f>IFERROR(IF(OR(C57="",E57=""),"",IF(C57="Tische",E57/Abfrage_Ergebnis!$E$16,IF(C57="Rollcontainer",E57/Abfrage_Ergebnis!$E$17,IF(C57="Stühle",E57/Abfrage_Ergebnis!$E$18,IF(C57="Sessel / Sofas",E57/Abfrage_Ergebnis!$E$19,IF(C57="Stauraummöbel (z.B. Regal-, Schubladen-, Vitrinen)",E57/Abfrage_Ergebnis!$E$20,IF(C57="Kücheneinrichtungen (Ober- oder Unterschrank), Empfangstheken, Coffee Point Thekenelemente o.ä.",E57/Abfrage_Ergebnis!$E$21,IF(C57="Betten",E57/Abfrage_Ergebnis!$E$22,IF(C57="sonstige Möbel",E57/Abfrage_Ergebnis!$E$23))))))))),"")</f>
        <v/>
      </c>
      <c r="G57" s="219"/>
      <c r="H57" s="220"/>
      <c r="I57" s="221"/>
      <c r="J57" s="221"/>
      <c r="K57" s="221"/>
      <c r="L57" s="221"/>
      <c r="M57" s="221"/>
      <c r="N57" s="221"/>
      <c r="O57" s="222"/>
      <c r="P57" s="220"/>
      <c r="Q57" s="221"/>
      <c r="R57" s="221"/>
      <c r="S57" s="221"/>
      <c r="T57" s="221"/>
      <c r="U57" s="223"/>
      <c r="V57" s="165" t="str">
        <f t="shared" si="2"/>
        <v>nicht erfüllt</v>
      </c>
      <c r="W57" s="166">
        <f t="shared" si="3"/>
        <v>0</v>
      </c>
      <c r="X57" s="163"/>
      <c r="Y57" s="163"/>
      <c r="Z57" s="116"/>
      <c r="AA57" s="116"/>
    </row>
    <row r="58" spans="1:27" ht="14.25" outlineLevel="1" thickBot="1" x14ac:dyDescent="0.25">
      <c r="C58" s="214"/>
      <c r="D58" s="215"/>
      <c r="E58" s="215"/>
      <c r="F58" s="164" t="str">
        <f>IFERROR(IF(OR(C58="",E58=""),"",IF(C58="Tische",E58/Abfrage_Ergebnis!$E$16,IF(C58="Rollcontainer",E58/Abfrage_Ergebnis!$E$17,IF(C58="Stühle",E58/Abfrage_Ergebnis!$E$18,IF(C58="Sessel / Sofas",E58/Abfrage_Ergebnis!$E$19,IF(C58="Stauraummöbel (z.B. Regal-, Schubladen-, Vitrinen)",E58/Abfrage_Ergebnis!$E$20,IF(C58="Kücheneinrichtungen (Ober- oder Unterschrank), Empfangstheken, Coffee Point Thekenelemente o.ä.",E58/Abfrage_Ergebnis!$E$21,IF(C58="Betten",E58/Abfrage_Ergebnis!$E$22,IF(C58="sonstige Möbel",E58/Abfrage_Ergebnis!$E$23))))))))),"")</f>
        <v/>
      </c>
      <c r="G58" s="219"/>
      <c r="H58" s="220"/>
      <c r="I58" s="221"/>
      <c r="J58" s="221"/>
      <c r="K58" s="221"/>
      <c r="L58" s="221"/>
      <c r="M58" s="221"/>
      <c r="N58" s="221"/>
      <c r="O58" s="222"/>
      <c r="P58" s="220"/>
      <c r="Q58" s="221"/>
      <c r="R58" s="221"/>
      <c r="S58" s="221"/>
      <c r="T58" s="221"/>
      <c r="U58" s="223"/>
      <c r="V58" s="165" t="str">
        <f t="shared" si="2"/>
        <v>nicht erfüllt</v>
      </c>
      <c r="W58" s="166">
        <f t="shared" si="3"/>
        <v>0</v>
      </c>
      <c r="X58" s="163"/>
      <c r="Y58" s="163"/>
      <c r="Z58" s="116"/>
      <c r="AA58" s="116"/>
    </row>
    <row r="59" spans="1:27" ht="14.25" outlineLevel="1" thickBot="1" x14ac:dyDescent="0.25">
      <c r="A59" s="116"/>
      <c r="B59" s="116"/>
      <c r="C59" s="214"/>
      <c r="D59" s="215"/>
      <c r="E59" s="215"/>
      <c r="F59" s="164" t="str">
        <f>IFERROR(IF(OR(C59="",E59=""),"",IF(C59="Tische",E59/Abfrage_Ergebnis!$E$16,IF(C59="Rollcontainer",E59/Abfrage_Ergebnis!$E$17,IF(C59="Stühle",E59/Abfrage_Ergebnis!$E$18,IF(C59="Sessel / Sofas",E59/Abfrage_Ergebnis!$E$19,IF(C59="Stauraummöbel (z.B. Regal-, Schubladen-, Vitrinen)",E59/Abfrage_Ergebnis!$E$20,IF(C59="Kücheneinrichtungen (Ober- oder Unterschrank), Empfangstheken, Coffee Point Thekenelemente o.ä.",E59/Abfrage_Ergebnis!$E$21,IF(C59="Betten",E59/Abfrage_Ergebnis!$E$22,IF(C59="sonstige Möbel",E59/Abfrage_Ergebnis!$E$23))))))))),"")</f>
        <v/>
      </c>
      <c r="G59" s="219"/>
      <c r="H59" s="220"/>
      <c r="I59" s="221"/>
      <c r="J59" s="221"/>
      <c r="K59" s="221"/>
      <c r="L59" s="221"/>
      <c r="M59" s="221"/>
      <c r="N59" s="221"/>
      <c r="O59" s="222"/>
      <c r="P59" s="220"/>
      <c r="Q59" s="221"/>
      <c r="R59" s="221"/>
      <c r="S59" s="221"/>
      <c r="T59" s="221"/>
      <c r="U59" s="223"/>
      <c r="V59" s="165" t="str">
        <f t="shared" si="2"/>
        <v>nicht erfüllt</v>
      </c>
      <c r="W59" s="166">
        <f t="shared" si="3"/>
        <v>0</v>
      </c>
      <c r="X59" s="162"/>
      <c r="Y59" s="167"/>
      <c r="Z59" s="116"/>
      <c r="AA59" s="116"/>
    </row>
    <row r="60" spans="1:27" ht="15.75" customHeight="1" outlineLevel="1" thickBot="1" x14ac:dyDescent="0.3">
      <c r="A60" s="168"/>
      <c r="B60" s="168"/>
      <c r="C60" s="214"/>
      <c r="D60" s="215"/>
      <c r="E60" s="215"/>
      <c r="F60" s="164" t="str">
        <f>IFERROR(IF(OR(C60="",E60=""),"",IF(C60="Tische",E60/Abfrage_Ergebnis!$E$16,IF(C60="Rollcontainer",E60/Abfrage_Ergebnis!$E$17,IF(C60="Stühle",E60/Abfrage_Ergebnis!$E$18,IF(C60="Sessel / Sofas",E60/Abfrage_Ergebnis!$E$19,IF(C60="Stauraummöbel (z.B. Regal-, Schubladen-, Vitrinen)",E60/Abfrage_Ergebnis!$E$20,IF(C60="Kücheneinrichtungen (Ober- oder Unterschrank), Empfangstheken, Coffee Point Thekenelemente o.ä.",E60/Abfrage_Ergebnis!$E$21,IF(C60="Betten",E60/Abfrage_Ergebnis!$E$22,IF(C60="sonstige Möbel",E60/Abfrage_Ergebnis!$E$23))))))))),"")</f>
        <v/>
      </c>
      <c r="G60" s="219"/>
      <c r="H60" s="220"/>
      <c r="I60" s="221"/>
      <c r="J60" s="221"/>
      <c r="K60" s="221"/>
      <c r="L60" s="221"/>
      <c r="M60" s="221"/>
      <c r="N60" s="221"/>
      <c r="O60" s="222"/>
      <c r="P60" s="220"/>
      <c r="Q60" s="221"/>
      <c r="R60" s="221"/>
      <c r="S60" s="221"/>
      <c r="T60" s="221"/>
      <c r="U60" s="223"/>
      <c r="V60" s="165" t="str">
        <f t="shared" si="2"/>
        <v>nicht erfüllt</v>
      </c>
      <c r="W60" s="166">
        <f t="shared" si="3"/>
        <v>0</v>
      </c>
      <c r="X60" s="162"/>
      <c r="Y60" s="167"/>
      <c r="Z60" s="116"/>
      <c r="AA60" s="116"/>
    </row>
    <row r="61" spans="1:27" ht="14.25" outlineLevel="1" thickBot="1" x14ac:dyDescent="0.25">
      <c r="A61" s="116"/>
      <c r="B61" s="116"/>
      <c r="C61" s="214"/>
      <c r="D61" s="215"/>
      <c r="E61" s="215"/>
      <c r="F61" s="164" t="str">
        <f>IFERROR(IF(OR(C61="",E61=""),"",IF(C61="Tische",E61/Abfrage_Ergebnis!$E$16,IF(C61="Rollcontainer",E61/Abfrage_Ergebnis!$E$17,IF(C61="Stühle",E61/Abfrage_Ergebnis!$E$18,IF(C61="Sessel / Sofas",E61/Abfrage_Ergebnis!$E$19,IF(C61="Stauraummöbel (z.B. Regal-, Schubladen-, Vitrinen)",E61/Abfrage_Ergebnis!$E$20,IF(C61="Kücheneinrichtungen (Ober- oder Unterschrank), Empfangstheken, Coffee Point Thekenelemente o.ä.",E61/Abfrage_Ergebnis!$E$21,IF(C61="Betten",E61/Abfrage_Ergebnis!$E$22,IF(C61="sonstige Möbel",E61/Abfrage_Ergebnis!$E$23))))))))),"")</f>
        <v/>
      </c>
      <c r="G61" s="219"/>
      <c r="H61" s="220"/>
      <c r="I61" s="221"/>
      <c r="J61" s="221"/>
      <c r="K61" s="221"/>
      <c r="L61" s="221"/>
      <c r="M61" s="221"/>
      <c r="N61" s="221"/>
      <c r="O61" s="222"/>
      <c r="P61" s="220"/>
      <c r="Q61" s="221"/>
      <c r="R61" s="221"/>
      <c r="S61" s="221"/>
      <c r="T61" s="221"/>
      <c r="U61" s="223"/>
      <c r="V61" s="165" t="str">
        <f t="shared" si="2"/>
        <v>nicht erfüllt</v>
      </c>
      <c r="W61" s="166">
        <f t="shared" si="3"/>
        <v>0</v>
      </c>
      <c r="X61" s="162"/>
      <c r="Y61" s="167"/>
      <c r="Z61" s="116"/>
      <c r="AA61" s="116"/>
    </row>
    <row r="62" spans="1:27" ht="14.25" outlineLevel="1" thickBot="1" x14ac:dyDescent="0.25">
      <c r="C62" s="214"/>
      <c r="D62" s="215"/>
      <c r="E62" s="215"/>
      <c r="F62" s="164" t="str">
        <f>IFERROR(IF(OR(C62="",E62=""),"",IF(C62="Tische",E62/Abfrage_Ergebnis!$E$16,IF(C62="Rollcontainer",E62/Abfrage_Ergebnis!$E$17,IF(C62="Stühle",E62/Abfrage_Ergebnis!$E$18,IF(C62="Sessel / Sofas",E62/Abfrage_Ergebnis!$E$19,IF(C62="Stauraummöbel (z.B. Regal-, Schubladen-, Vitrinen)",E62/Abfrage_Ergebnis!$E$20,IF(C62="Kücheneinrichtungen (Ober- oder Unterschrank), Empfangstheken, Coffee Point Thekenelemente o.ä.",E62/Abfrage_Ergebnis!$E$21,IF(C62="Betten",E62/Abfrage_Ergebnis!$E$22,IF(C62="sonstige Möbel",E62/Abfrage_Ergebnis!$E$23))))))))),"")</f>
        <v/>
      </c>
      <c r="G62" s="219"/>
      <c r="H62" s="220"/>
      <c r="I62" s="221"/>
      <c r="J62" s="221"/>
      <c r="K62" s="221"/>
      <c r="L62" s="221"/>
      <c r="M62" s="221"/>
      <c r="N62" s="221"/>
      <c r="O62" s="222"/>
      <c r="P62" s="220"/>
      <c r="Q62" s="221"/>
      <c r="R62" s="221"/>
      <c r="S62" s="221"/>
      <c r="T62" s="221"/>
      <c r="U62" s="223"/>
      <c r="V62" s="165" t="str">
        <f t="shared" si="2"/>
        <v>nicht erfüllt</v>
      </c>
      <c r="W62" s="166">
        <f t="shared" si="3"/>
        <v>0</v>
      </c>
      <c r="X62" s="162"/>
      <c r="Y62" s="167"/>
      <c r="Z62" s="116"/>
      <c r="AA62" s="116"/>
    </row>
    <row r="63" spans="1:27" ht="14.25" outlineLevel="1" thickBot="1" x14ac:dyDescent="0.25">
      <c r="C63" s="214"/>
      <c r="D63" s="215"/>
      <c r="E63" s="215"/>
      <c r="F63" s="164" t="str">
        <f>IFERROR(IF(OR(C63="",E63=""),"",IF(C63="Tische",E63/Abfrage_Ergebnis!$E$16,IF(C63="Rollcontainer",E63/Abfrage_Ergebnis!$E$17,IF(C63="Stühle",E63/Abfrage_Ergebnis!$E$18,IF(C63="Sessel / Sofas",E63/Abfrage_Ergebnis!$E$19,IF(C63="Stauraummöbel (z.B. Regal-, Schubladen-, Vitrinen)",E63/Abfrage_Ergebnis!$E$20,IF(C63="Kücheneinrichtungen (Ober- oder Unterschrank), Empfangstheken, Coffee Point Thekenelemente o.ä.",E63/Abfrage_Ergebnis!$E$21,IF(C63="Betten",E63/Abfrage_Ergebnis!$E$22,IF(C63="sonstige Möbel",E63/Abfrage_Ergebnis!$E$23))))))))),"")</f>
        <v/>
      </c>
      <c r="G63" s="219"/>
      <c r="H63" s="220"/>
      <c r="I63" s="221"/>
      <c r="J63" s="221"/>
      <c r="K63" s="221"/>
      <c r="L63" s="221"/>
      <c r="M63" s="221"/>
      <c r="N63" s="221"/>
      <c r="O63" s="222"/>
      <c r="P63" s="220"/>
      <c r="Q63" s="221"/>
      <c r="R63" s="221"/>
      <c r="S63" s="221"/>
      <c r="T63" s="221"/>
      <c r="U63" s="223"/>
      <c r="V63" s="165" t="str">
        <f t="shared" si="2"/>
        <v>nicht erfüllt</v>
      </c>
      <c r="W63" s="166">
        <f t="shared" si="3"/>
        <v>0</v>
      </c>
      <c r="X63" s="162"/>
      <c r="Y63" s="167"/>
      <c r="Z63" s="116"/>
      <c r="AA63" s="116"/>
    </row>
    <row r="64" spans="1:27" ht="14.25" outlineLevel="1" thickBot="1" x14ac:dyDescent="0.25">
      <c r="C64" s="214"/>
      <c r="D64" s="215"/>
      <c r="E64" s="215"/>
      <c r="F64" s="164" t="str">
        <f>IFERROR(IF(OR(C64="",E64=""),"",IF(C64="Tische",E64/Abfrage_Ergebnis!$E$16,IF(C64="Rollcontainer",E64/Abfrage_Ergebnis!$E$17,IF(C64="Stühle",E64/Abfrage_Ergebnis!$E$18,IF(C64="Sessel / Sofas",E64/Abfrage_Ergebnis!$E$19,IF(C64="Stauraummöbel (z.B. Regal-, Schubladen-, Vitrinen)",E64/Abfrage_Ergebnis!$E$20,IF(C64="Kücheneinrichtungen (Ober- oder Unterschrank), Empfangstheken, Coffee Point Thekenelemente o.ä.",E64/Abfrage_Ergebnis!$E$21,IF(C64="Betten",E64/Abfrage_Ergebnis!$E$22,IF(C64="sonstige Möbel",E64/Abfrage_Ergebnis!$E$23))))))))),"")</f>
        <v/>
      </c>
      <c r="G64" s="219"/>
      <c r="H64" s="220"/>
      <c r="I64" s="221"/>
      <c r="J64" s="221"/>
      <c r="K64" s="221"/>
      <c r="L64" s="221"/>
      <c r="M64" s="221"/>
      <c r="N64" s="221"/>
      <c r="O64" s="222"/>
      <c r="P64" s="220"/>
      <c r="Q64" s="221"/>
      <c r="R64" s="221"/>
      <c r="S64" s="221"/>
      <c r="T64" s="221"/>
      <c r="U64" s="223"/>
      <c r="V64" s="165" t="str">
        <f t="shared" si="2"/>
        <v>nicht erfüllt</v>
      </c>
      <c r="W64" s="166">
        <f t="shared" si="3"/>
        <v>0</v>
      </c>
      <c r="X64" s="162"/>
      <c r="Y64" s="167"/>
      <c r="Z64" s="116"/>
      <c r="AA64" s="116"/>
    </row>
    <row r="65" spans="3:28" ht="14.25" outlineLevel="1" thickBot="1" x14ac:dyDescent="0.25">
      <c r="C65" s="214"/>
      <c r="D65" s="215"/>
      <c r="E65" s="215"/>
      <c r="F65" s="164" t="str">
        <f>IFERROR(IF(OR(C65="",E65=""),"",IF(C65="Tische",E65/Abfrage_Ergebnis!$E$16,IF(C65="Rollcontainer",E65/Abfrage_Ergebnis!$E$17,IF(C65="Stühle",E65/Abfrage_Ergebnis!$E$18,IF(C65="Sessel / Sofas",E65/Abfrage_Ergebnis!$E$19,IF(C65="Stauraummöbel (z.B. Regal-, Schubladen-, Vitrinen)",E65/Abfrage_Ergebnis!$E$20,IF(C65="Kücheneinrichtungen (Ober- oder Unterschrank), Empfangstheken, Coffee Point Thekenelemente o.ä.",E65/Abfrage_Ergebnis!$E$21,IF(C65="Betten",E65/Abfrage_Ergebnis!$E$22,IF(C65="sonstige Möbel",E65/Abfrage_Ergebnis!$E$23))))))))),"")</f>
        <v/>
      </c>
      <c r="G65" s="219"/>
      <c r="H65" s="220"/>
      <c r="I65" s="221"/>
      <c r="J65" s="221"/>
      <c r="K65" s="221"/>
      <c r="L65" s="221"/>
      <c r="M65" s="221"/>
      <c r="N65" s="221"/>
      <c r="O65" s="222"/>
      <c r="P65" s="220"/>
      <c r="Q65" s="221"/>
      <c r="R65" s="221"/>
      <c r="S65" s="221"/>
      <c r="T65" s="221"/>
      <c r="U65" s="223"/>
      <c r="V65" s="165" t="str">
        <f t="shared" si="2"/>
        <v>nicht erfüllt</v>
      </c>
      <c r="W65" s="166">
        <f t="shared" si="3"/>
        <v>0</v>
      </c>
      <c r="X65" s="162"/>
      <c r="Y65" s="167"/>
      <c r="Z65" s="116"/>
      <c r="AA65" s="116"/>
    </row>
    <row r="66" spans="3:28" ht="14.25" outlineLevel="1" thickBot="1" x14ac:dyDescent="0.25">
      <c r="C66" s="214"/>
      <c r="D66" s="215"/>
      <c r="E66" s="215"/>
      <c r="F66" s="164" t="str">
        <f>IFERROR(IF(OR(C66="",E66=""),"",IF(C66="Tische",E66/Abfrage_Ergebnis!$E$16,IF(C66="Rollcontainer",E66/Abfrage_Ergebnis!$E$17,IF(C66="Stühle",E66/Abfrage_Ergebnis!$E$18,IF(C66="Sessel / Sofas",E66/Abfrage_Ergebnis!$E$19,IF(C66="Stauraummöbel (z.B. Regal-, Schubladen-, Vitrinen)",E66/Abfrage_Ergebnis!$E$20,IF(C66="Kücheneinrichtungen (Ober- oder Unterschrank), Empfangstheken, Coffee Point Thekenelemente o.ä.",E66/Abfrage_Ergebnis!$E$21,IF(C66="Betten",E66/Abfrage_Ergebnis!$E$22,IF(C66="sonstige Möbel",E66/Abfrage_Ergebnis!$E$23))))))))),"")</f>
        <v/>
      </c>
      <c r="G66" s="219"/>
      <c r="H66" s="220"/>
      <c r="I66" s="221"/>
      <c r="J66" s="221"/>
      <c r="K66" s="221"/>
      <c r="L66" s="221"/>
      <c r="M66" s="221"/>
      <c r="N66" s="221"/>
      <c r="O66" s="222"/>
      <c r="P66" s="220"/>
      <c r="Q66" s="221"/>
      <c r="R66" s="221"/>
      <c r="S66" s="221"/>
      <c r="T66" s="221"/>
      <c r="U66" s="223"/>
      <c r="V66" s="165" t="str">
        <f t="shared" si="2"/>
        <v>nicht erfüllt</v>
      </c>
      <c r="W66" s="166">
        <f t="shared" si="3"/>
        <v>0</v>
      </c>
      <c r="X66" s="162"/>
      <c r="Y66" s="167"/>
      <c r="Z66" s="116"/>
      <c r="AA66" s="116"/>
    </row>
    <row r="67" spans="3:28" ht="12.75" customHeight="1" outlineLevel="1" thickBot="1" x14ac:dyDescent="0.25">
      <c r="C67" s="214"/>
      <c r="D67" s="215"/>
      <c r="E67" s="215"/>
      <c r="F67" s="164" t="str">
        <f>IFERROR(IF(OR(C67="",E67=""),"",IF(C67="Tische",E67/Abfrage_Ergebnis!$E$16,IF(C67="Rollcontainer",E67/Abfrage_Ergebnis!$E$17,IF(C67="Stühle",E67/Abfrage_Ergebnis!$E$18,IF(C67="Sessel / Sofas",E67/Abfrage_Ergebnis!$E$19,IF(C67="Stauraummöbel (z.B. Regal-, Schubladen-, Vitrinen)",E67/Abfrage_Ergebnis!$E$20,IF(C67="Kücheneinrichtungen (Ober- oder Unterschrank), Empfangstheken, Coffee Point Thekenelemente o.ä.",E67/Abfrage_Ergebnis!$E$21,IF(C67="Betten",E67/Abfrage_Ergebnis!$E$22,IF(C67="sonstige Möbel",E67/Abfrage_Ergebnis!$E$23))))))))),"")</f>
        <v/>
      </c>
      <c r="G67" s="219"/>
      <c r="H67" s="220"/>
      <c r="I67" s="221"/>
      <c r="J67" s="221"/>
      <c r="K67" s="221"/>
      <c r="L67" s="221"/>
      <c r="M67" s="221"/>
      <c r="N67" s="221"/>
      <c r="O67" s="222"/>
      <c r="P67" s="220"/>
      <c r="Q67" s="221"/>
      <c r="R67" s="221"/>
      <c r="S67" s="221"/>
      <c r="T67" s="221"/>
      <c r="U67" s="223"/>
      <c r="V67" s="165" t="str">
        <f t="shared" si="2"/>
        <v>nicht erfüllt</v>
      </c>
      <c r="W67" s="166">
        <f t="shared" si="3"/>
        <v>0</v>
      </c>
      <c r="X67" s="162"/>
      <c r="Y67" s="167"/>
      <c r="Z67" s="116"/>
      <c r="AA67" s="116"/>
    </row>
    <row r="68" spans="3:28" ht="12.75" customHeight="1" outlineLevel="1" thickBot="1" x14ac:dyDescent="0.25">
      <c r="C68" s="214"/>
      <c r="D68" s="215"/>
      <c r="E68" s="215"/>
      <c r="F68" s="164" t="str">
        <f>IFERROR(IF(OR(C68="",E68=""),"",IF(C68="Tische",E68/Abfrage_Ergebnis!$E$16,IF(C68="Rollcontainer",E68/Abfrage_Ergebnis!$E$17,IF(C68="Stühle",E68/Abfrage_Ergebnis!$E$18,IF(C68="Sessel / Sofas",E68/Abfrage_Ergebnis!$E$19,IF(C68="Stauraummöbel (z.B. Regal-, Schubladen-, Vitrinen)",E68/Abfrage_Ergebnis!$E$20,IF(C68="Kücheneinrichtungen (Ober- oder Unterschrank), Empfangstheken, Coffee Point Thekenelemente o.ä.",E68/Abfrage_Ergebnis!$E$21,IF(C68="Betten",E68/Abfrage_Ergebnis!$E$22,IF(C68="sonstige Möbel",E68/Abfrage_Ergebnis!$E$23))))))))),"")</f>
        <v/>
      </c>
      <c r="G68" s="219"/>
      <c r="H68" s="220"/>
      <c r="I68" s="221"/>
      <c r="J68" s="221"/>
      <c r="K68" s="221"/>
      <c r="L68" s="221"/>
      <c r="M68" s="221"/>
      <c r="N68" s="221"/>
      <c r="O68" s="222"/>
      <c r="P68" s="220"/>
      <c r="Q68" s="221"/>
      <c r="R68" s="221"/>
      <c r="S68" s="221"/>
      <c r="T68" s="221"/>
      <c r="U68" s="223"/>
      <c r="V68" s="165" t="str">
        <f t="shared" si="2"/>
        <v>nicht erfüllt</v>
      </c>
      <c r="W68" s="166">
        <f t="shared" si="3"/>
        <v>0</v>
      </c>
      <c r="X68" s="162"/>
      <c r="Y68" s="167"/>
      <c r="Z68" s="116"/>
      <c r="AA68" s="116"/>
    </row>
    <row r="69" spans="3:28" ht="12.75" customHeight="1" outlineLevel="1" thickBot="1" x14ac:dyDescent="0.25">
      <c r="C69" s="214"/>
      <c r="D69" s="215"/>
      <c r="E69" s="215"/>
      <c r="F69" s="164" t="str">
        <f>IFERROR(IF(OR(C69="",E69=""),"",IF(C69="Tische",E69/Abfrage_Ergebnis!$E$16,IF(C69="Rollcontainer",E69/Abfrage_Ergebnis!$E$17,IF(C69="Stühle",E69/Abfrage_Ergebnis!$E$18,IF(C69="Sessel / Sofas",E69/Abfrage_Ergebnis!$E$19,IF(C69="Stauraummöbel (z.B. Regal-, Schubladen-, Vitrinen)",E69/Abfrage_Ergebnis!$E$20,IF(C69="Kücheneinrichtungen (Ober- oder Unterschrank), Empfangstheken, Coffee Point Thekenelemente o.ä.",E69/Abfrage_Ergebnis!$E$21,IF(C69="Betten",E69/Abfrage_Ergebnis!$E$22,IF(C69="sonstige Möbel",E69/Abfrage_Ergebnis!$E$23))))))))),"")</f>
        <v/>
      </c>
      <c r="G69" s="219"/>
      <c r="H69" s="220"/>
      <c r="I69" s="221"/>
      <c r="J69" s="221"/>
      <c r="K69" s="221"/>
      <c r="L69" s="221"/>
      <c r="M69" s="221"/>
      <c r="N69" s="221"/>
      <c r="O69" s="222"/>
      <c r="P69" s="220"/>
      <c r="Q69" s="221"/>
      <c r="R69" s="221"/>
      <c r="S69" s="221"/>
      <c r="T69" s="221"/>
      <c r="U69" s="223"/>
      <c r="V69" s="165" t="str">
        <f t="shared" si="2"/>
        <v>nicht erfüllt</v>
      </c>
      <c r="W69" s="166">
        <f t="shared" si="3"/>
        <v>0</v>
      </c>
      <c r="X69" s="162"/>
      <c r="Y69" s="167"/>
      <c r="Z69" s="116"/>
      <c r="AA69" s="116"/>
    </row>
    <row r="70" spans="3:28" ht="12.75" customHeight="1" outlineLevel="1" thickBot="1" x14ac:dyDescent="0.25">
      <c r="C70" s="214"/>
      <c r="D70" s="215"/>
      <c r="E70" s="215"/>
      <c r="F70" s="164" t="str">
        <f>IFERROR(IF(OR(C70="",E70=""),"",IF(C70="Tische",E70/Abfrage_Ergebnis!$E$16,IF(C70="Rollcontainer",E70/Abfrage_Ergebnis!$E$17,IF(C70="Stühle",E70/Abfrage_Ergebnis!$E$18,IF(C70="Sessel / Sofas",E70/Abfrage_Ergebnis!$E$19,IF(C70="Stauraummöbel (z.B. Regal-, Schubladen-, Vitrinen)",E70/Abfrage_Ergebnis!$E$20,IF(C70="Kücheneinrichtungen (Ober- oder Unterschrank), Empfangstheken, Coffee Point Thekenelemente o.ä.",E70/Abfrage_Ergebnis!$E$21,IF(C70="Betten",E70/Abfrage_Ergebnis!$E$22,IF(C70="sonstige Möbel",E70/Abfrage_Ergebnis!$E$23))))))))),"")</f>
        <v/>
      </c>
      <c r="G70" s="219"/>
      <c r="H70" s="220"/>
      <c r="I70" s="221"/>
      <c r="J70" s="221"/>
      <c r="K70" s="221"/>
      <c r="L70" s="221"/>
      <c r="M70" s="221"/>
      <c r="N70" s="221"/>
      <c r="O70" s="222"/>
      <c r="P70" s="220"/>
      <c r="Q70" s="221"/>
      <c r="R70" s="221"/>
      <c r="S70" s="221"/>
      <c r="T70" s="221"/>
      <c r="U70" s="223"/>
      <c r="V70" s="165" t="str">
        <f t="shared" si="2"/>
        <v>nicht erfüllt</v>
      </c>
      <c r="W70" s="166">
        <f t="shared" si="3"/>
        <v>0</v>
      </c>
      <c r="X70" s="162"/>
      <c r="Y70" s="167"/>
      <c r="Z70" s="116"/>
      <c r="AA70" s="116"/>
    </row>
    <row r="71" spans="3:28" ht="12.75" customHeight="1" outlineLevel="1" thickBot="1" x14ac:dyDescent="0.25">
      <c r="C71" s="214"/>
      <c r="D71" s="215"/>
      <c r="E71" s="215"/>
      <c r="F71" s="164" t="str">
        <f>IFERROR(IF(OR(C71="",E71=""),"",IF(C71="Tische",E71/Abfrage_Ergebnis!$E$16,IF(C71="Rollcontainer",E71/Abfrage_Ergebnis!$E$17,IF(C71="Stühle",E71/Abfrage_Ergebnis!$E$18,IF(C71="Sessel / Sofas",E71/Abfrage_Ergebnis!$E$19,IF(C71="Stauraummöbel (z.B. Regal-, Schubladen-, Vitrinen)",E71/Abfrage_Ergebnis!$E$20,IF(C71="Kücheneinrichtungen (Ober- oder Unterschrank), Empfangstheken, Coffee Point Thekenelemente o.ä.",E71/Abfrage_Ergebnis!$E$21,IF(C71="Betten",E71/Abfrage_Ergebnis!$E$22,IF(C71="sonstige Möbel",E71/Abfrage_Ergebnis!$E$23))))))))),"")</f>
        <v/>
      </c>
      <c r="G71" s="219"/>
      <c r="H71" s="220"/>
      <c r="I71" s="221"/>
      <c r="J71" s="221"/>
      <c r="K71" s="221"/>
      <c r="L71" s="221"/>
      <c r="M71" s="221"/>
      <c r="N71" s="221"/>
      <c r="O71" s="222"/>
      <c r="P71" s="220"/>
      <c r="Q71" s="221"/>
      <c r="R71" s="221"/>
      <c r="S71" s="221"/>
      <c r="T71" s="221"/>
      <c r="U71" s="223"/>
      <c r="V71" s="165" t="str">
        <f t="shared" si="2"/>
        <v>nicht erfüllt</v>
      </c>
      <c r="W71" s="166">
        <f t="shared" si="3"/>
        <v>0</v>
      </c>
      <c r="X71" s="162"/>
      <c r="Y71" s="167"/>
      <c r="Z71" s="116"/>
      <c r="AA71" s="116"/>
    </row>
    <row r="72" spans="3:28" ht="13.5" customHeight="1" outlineLevel="1" thickBot="1" x14ac:dyDescent="0.25">
      <c r="C72" s="214"/>
      <c r="D72" s="215"/>
      <c r="E72" s="215"/>
      <c r="F72" s="164" t="str">
        <f>IFERROR(IF(OR(C72="",E72=""),"",IF(C72="Tische",E72/Abfrage_Ergebnis!$E$16,IF(C72="Rollcontainer",E72/Abfrage_Ergebnis!$E$17,IF(C72="Stühle",E72/Abfrage_Ergebnis!$E$18,IF(C72="Sessel / Sofas",E72/Abfrage_Ergebnis!$E$19,IF(C72="Stauraummöbel (z.B. Regal-, Schubladen-, Vitrinen)",E72/Abfrage_Ergebnis!$E$20,IF(C72="Kücheneinrichtungen (Ober- oder Unterschrank), Empfangstheken, Coffee Point Thekenelemente o.ä.",E72/Abfrage_Ergebnis!$E$21,IF(C72="Betten",E72/Abfrage_Ergebnis!$E$22,IF(C72="sonstige Möbel",E72/Abfrage_Ergebnis!$E$23))))))))),"")</f>
        <v/>
      </c>
      <c r="G72" s="219"/>
      <c r="H72" s="220"/>
      <c r="I72" s="221"/>
      <c r="J72" s="221"/>
      <c r="K72" s="221"/>
      <c r="L72" s="221"/>
      <c r="M72" s="221"/>
      <c r="N72" s="221"/>
      <c r="O72" s="222"/>
      <c r="P72" s="220"/>
      <c r="Q72" s="221"/>
      <c r="R72" s="221"/>
      <c r="S72" s="221"/>
      <c r="T72" s="221"/>
      <c r="U72" s="223"/>
      <c r="V72" s="165" t="str">
        <f t="shared" si="2"/>
        <v>nicht erfüllt</v>
      </c>
      <c r="W72" s="166">
        <f t="shared" si="3"/>
        <v>0</v>
      </c>
      <c r="X72" s="162"/>
      <c r="Y72" s="167"/>
      <c r="Z72" s="116"/>
      <c r="AA72" s="116"/>
    </row>
    <row r="73" spans="3:28" ht="14.25" outlineLevel="1" thickBot="1" x14ac:dyDescent="0.25">
      <c r="C73" s="214"/>
      <c r="D73" s="215"/>
      <c r="E73" s="215"/>
      <c r="F73" s="164" t="str">
        <f>IFERROR(IF(OR(C73="",E73=""),"",IF(C73="Tische",E73/Abfrage_Ergebnis!$E$16,IF(C73="Rollcontainer",E73/Abfrage_Ergebnis!$E$17,IF(C73="Stühle",E73/Abfrage_Ergebnis!$E$18,IF(C73="Sessel / Sofas",E73/Abfrage_Ergebnis!$E$19,IF(C73="Stauraummöbel (z.B. Regal-, Schubladen-, Vitrinen)",E73/Abfrage_Ergebnis!$E$20,IF(C73="Kücheneinrichtungen (Ober- oder Unterschrank), Empfangstheken, Coffee Point Thekenelemente o.ä.",E73/Abfrage_Ergebnis!$E$21,IF(C73="Betten",E73/Abfrage_Ergebnis!$E$22,IF(C73="sonstige Möbel",E73/Abfrage_Ergebnis!$E$23))))))))),"")</f>
        <v/>
      </c>
      <c r="G73" s="219"/>
      <c r="H73" s="220"/>
      <c r="I73" s="221"/>
      <c r="J73" s="221"/>
      <c r="K73" s="221"/>
      <c r="L73" s="221"/>
      <c r="M73" s="221"/>
      <c r="N73" s="221"/>
      <c r="O73" s="222"/>
      <c r="P73" s="220"/>
      <c r="Q73" s="221"/>
      <c r="R73" s="221"/>
      <c r="S73" s="221"/>
      <c r="T73" s="221"/>
      <c r="U73" s="223"/>
      <c r="V73" s="165" t="str">
        <f t="shared" si="2"/>
        <v>nicht erfüllt</v>
      </c>
      <c r="W73" s="166">
        <f t="shared" si="3"/>
        <v>0</v>
      </c>
      <c r="X73" s="393" t="s">
        <v>137</v>
      </c>
      <c r="Y73" s="167"/>
      <c r="Z73" s="116"/>
      <c r="AA73" s="116"/>
    </row>
    <row r="74" spans="3:28" ht="13.5" customHeight="1" outlineLevel="1" thickBot="1" x14ac:dyDescent="0.25">
      <c r="C74" s="214"/>
      <c r="D74" s="215"/>
      <c r="E74" s="215"/>
      <c r="F74" s="164" t="str">
        <f>IFERROR(IF(OR(C74="",E74=""),"",IF(C74="Tische",E74/Abfrage_Ergebnis!$E$16,IF(C74="Rollcontainer",E74/Abfrage_Ergebnis!$E$17,IF(C74="Stühle",E74/Abfrage_Ergebnis!$E$18,IF(C74="Sessel / Sofas",E74/Abfrage_Ergebnis!$E$19,IF(C74="Stauraummöbel (z.B. Regal-, Schubladen-, Vitrinen)",E74/Abfrage_Ergebnis!$E$20,IF(C74="Kücheneinrichtungen (Ober- oder Unterschrank), Empfangstheken, Coffee Point Thekenelemente o.ä.",E74/Abfrage_Ergebnis!$E$21,IF(C74="Betten",E74/Abfrage_Ergebnis!$E$22,IF(C74="sonstige Möbel",E74/Abfrage_Ergebnis!$E$23))))))))),"")</f>
        <v/>
      </c>
      <c r="G74" s="219"/>
      <c r="H74" s="220"/>
      <c r="I74" s="221"/>
      <c r="J74" s="221"/>
      <c r="K74" s="221"/>
      <c r="L74" s="221"/>
      <c r="M74" s="221"/>
      <c r="N74" s="221"/>
      <c r="O74" s="222"/>
      <c r="P74" s="220"/>
      <c r="Q74" s="221"/>
      <c r="R74" s="221"/>
      <c r="S74" s="221"/>
      <c r="T74" s="221"/>
      <c r="U74" s="223"/>
      <c r="V74" s="165" t="str">
        <f t="shared" si="2"/>
        <v>nicht erfüllt</v>
      </c>
      <c r="W74" s="166">
        <f t="shared" si="3"/>
        <v>0</v>
      </c>
      <c r="X74" s="394"/>
      <c r="Y74" s="167"/>
      <c r="Z74" s="116"/>
      <c r="AA74" s="116"/>
    </row>
    <row r="75" spans="3:28" ht="14.25" outlineLevel="1" thickBot="1" x14ac:dyDescent="0.25">
      <c r="C75" s="214"/>
      <c r="D75" s="215"/>
      <c r="E75" s="215"/>
      <c r="F75" s="164" t="str">
        <f>IFERROR(IF(OR(C75="",E75=""),"",IF(C75="Tische",E75/Abfrage_Ergebnis!$E$16,IF(C75="Rollcontainer",E75/Abfrage_Ergebnis!$E$17,IF(C75="Stühle",E75/Abfrage_Ergebnis!$E$18,IF(C75="Sessel / Sofas",E75/Abfrage_Ergebnis!$E$19,IF(C75="Stauraummöbel (z.B. Regal-, Schubladen-, Vitrinen)",E75/Abfrage_Ergebnis!$E$20,IF(C75="Kücheneinrichtungen (Ober- oder Unterschrank), Empfangstheken, Coffee Point Thekenelemente o.ä.",E75/Abfrage_Ergebnis!$E$21,IF(C75="Betten",E75/Abfrage_Ergebnis!$E$22,IF(C75="sonstige Möbel",E75/Abfrage_Ergebnis!$E$23))))))))),"")</f>
        <v/>
      </c>
      <c r="G75" s="219"/>
      <c r="H75" s="220"/>
      <c r="I75" s="221"/>
      <c r="J75" s="221"/>
      <c r="K75" s="221"/>
      <c r="L75" s="221"/>
      <c r="M75" s="221"/>
      <c r="N75" s="221"/>
      <c r="O75" s="222"/>
      <c r="P75" s="220"/>
      <c r="Q75" s="221"/>
      <c r="R75" s="221"/>
      <c r="S75" s="221"/>
      <c r="T75" s="221"/>
      <c r="U75" s="223"/>
      <c r="V75" s="165" t="str">
        <f t="shared" si="2"/>
        <v>nicht erfüllt</v>
      </c>
      <c r="W75" s="166">
        <f t="shared" si="3"/>
        <v>0</v>
      </c>
      <c r="X75" s="394"/>
      <c r="Y75" s="167"/>
      <c r="Z75" s="116"/>
      <c r="AA75" s="116"/>
    </row>
    <row r="76" spans="3:28" ht="13.5" customHeight="1" outlineLevel="1" thickBot="1" x14ac:dyDescent="0.25">
      <c r="C76" s="214"/>
      <c r="D76" s="215"/>
      <c r="E76" s="215"/>
      <c r="F76" s="164" t="str">
        <f>IFERROR(IF(OR(C76="",E76=""),"",IF(C76="Tische",E76/Abfrage_Ergebnis!$E$16,IF(C76="Rollcontainer",E76/Abfrage_Ergebnis!$E$17,IF(C76="Stühle",E76/Abfrage_Ergebnis!$E$18,IF(C76="Sessel / Sofas",E76/Abfrage_Ergebnis!$E$19,IF(C76="Stauraummöbel (z.B. Regal-, Schubladen-, Vitrinen)",E76/Abfrage_Ergebnis!$E$20,IF(C76="Kücheneinrichtungen (Ober- oder Unterschrank), Empfangstheken, Coffee Point Thekenelemente o.ä.",E76/Abfrage_Ergebnis!$E$21,IF(C76="Betten",E76/Abfrage_Ergebnis!$E$22,IF(C76="sonstige Möbel",E76/Abfrage_Ergebnis!$E$23))))))))),"")</f>
        <v/>
      </c>
      <c r="G76" s="219"/>
      <c r="H76" s="220"/>
      <c r="I76" s="221"/>
      <c r="J76" s="221"/>
      <c r="K76" s="221"/>
      <c r="L76" s="221"/>
      <c r="M76" s="221"/>
      <c r="N76" s="221"/>
      <c r="O76" s="222"/>
      <c r="P76" s="220"/>
      <c r="Q76" s="221"/>
      <c r="R76" s="221"/>
      <c r="S76" s="221"/>
      <c r="T76" s="221"/>
      <c r="U76" s="223"/>
      <c r="V76" s="165" t="str">
        <f t="shared" si="2"/>
        <v>nicht erfüllt</v>
      </c>
      <c r="W76" s="166">
        <f t="shared" si="3"/>
        <v>0</v>
      </c>
      <c r="X76" s="394"/>
      <c r="Y76" s="167"/>
      <c r="Z76" s="116"/>
      <c r="AA76" s="116"/>
    </row>
    <row r="77" spans="3:28" ht="14.25" outlineLevel="1" thickBot="1" x14ac:dyDescent="0.25">
      <c r="C77" s="214"/>
      <c r="D77" s="215"/>
      <c r="E77" s="215"/>
      <c r="F77" s="164" t="str">
        <f>IFERROR(IF(OR(C77="",E77=""),"",IF(C77="Tische",E77/Abfrage_Ergebnis!$E$16,IF(C77="Rollcontainer",E77/Abfrage_Ergebnis!$E$17,IF(C77="Stühle",E77/Abfrage_Ergebnis!$E$18,IF(C77="Sessel / Sofas",E77/Abfrage_Ergebnis!$E$19,IF(C77="Stauraummöbel (z.B. Regal-, Schubladen-, Vitrinen)",E77/Abfrage_Ergebnis!$E$20,IF(C77="Kücheneinrichtungen (Ober- oder Unterschrank), Empfangstheken, Coffee Point Thekenelemente o.ä.",E77/Abfrage_Ergebnis!$E$21,IF(C77="Betten",E77/Abfrage_Ergebnis!$E$22,IF(C77="sonstige Möbel",E77/Abfrage_Ergebnis!$E$23))))))))),"")</f>
        <v/>
      </c>
      <c r="G77" s="219"/>
      <c r="H77" s="220"/>
      <c r="I77" s="221"/>
      <c r="J77" s="221"/>
      <c r="K77" s="221"/>
      <c r="L77" s="221"/>
      <c r="M77" s="221"/>
      <c r="N77" s="221"/>
      <c r="O77" s="222"/>
      <c r="P77" s="220"/>
      <c r="Q77" s="221"/>
      <c r="R77" s="221"/>
      <c r="S77" s="221"/>
      <c r="T77" s="221"/>
      <c r="U77" s="223"/>
      <c r="V77" s="165" t="str">
        <f t="shared" si="2"/>
        <v>nicht erfüllt</v>
      </c>
      <c r="W77" s="166">
        <f t="shared" si="3"/>
        <v>0</v>
      </c>
      <c r="X77" s="394"/>
      <c r="Y77" s="167"/>
      <c r="Z77" s="116"/>
      <c r="AA77" s="116"/>
    </row>
    <row r="78" spans="3:28" ht="14.25" outlineLevel="1" thickBot="1" x14ac:dyDescent="0.25">
      <c r="C78" s="214"/>
      <c r="D78" s="215"/>
      <c r="E78" s="215"/>
      <c r="F78" s="164" t="str">
        <f>IFERROR(IF(OR(C78="",E78=""),"",IF(C78="Tische",E78/Abfrage_Ergebnis!$E$16,IF(C78="Rollcontainer",E78/Abfrage_Ergebnis!$E$17,IF(C78="Stühle",E78/Abfrage_Ergebnis!$E$18,IF(C78="Sessel / Sofas",E78/Abfrage_Ergebnis!$E$19,IF(C78="Stauraummöbel (z.B. Regal-, Schubladen-, Vitrinen)",E78/Abfrage_Ergebnis!$E$20,IF(C78="Kücheneinrichtungen (Ober- oder Unterschrank), Empfangstheken, Coffee Point Thekenelemente o.ä.",E78/Abfrage_Ergebnis!$E$21,IF(C78="Betten",E78/Abfrage_Ergebnis!$E$22,IF(C78="sonstige Möbel",E78/Abfrage_Ergebnis!$E$23))))))))),"")</f>
        <v/>
      </c>
      <c r="G78" s="219"/>
      <c r="H78" s="220"/>
      <c r="I78" s="221"/>
      <c r="J78" s="221"/>
      <c r="K78" s="221"/>
      <c r="L78" s="221"/>
      <c r="M78" s="221"/>
      <c r="N78" s="221"/>
      <c r="O78" s="222"/>
      <c r="P78" s="220"/>
      <c r="Q78" s="221"/>
      <c r="R78" s="221"/>
      <c r="S78" s="221"/>
      <c r="T78" s="221"/>
      <c r="U78" s="223"/>
      <c r="V78" s="165" t="str">
        <f t="shared" si="2"/>
        <v>nicht erfüllt</v>
      </c>
      <c r="W78" s="166">
        <f t="shared" si="3"/>
        <v>0</v>
      </c>
      <c r="X78" s="394"/>
      <c r="Y78" s="167"/>
      <c r="Z78" s="116"/>
      <c r="AA78" s="116"/>
    </row>
    <row r="79" spans="3:28" ht="14.25" outlineLevel="1" thickBot="1" x14ac:dyDescent="0.25">
      <c r="C79" s="214"/>
      <c r="D79" s="215"/>
      <c r="E79" s="215"/>
      <c r="F79" s="164" t="str">
        <f>IFERROR(IF(OR(C79="",E79=""),"",IF(C79="Tische",E79/Abfrage_Ergebnis!$E$16,IF(C79="Rollcontainer",E79/Abfrage_Ergebnis!$E$17,IF(C79="Stühle",E79/Abfrage_Ergebnis!$E$18,IF(C79="Sessel / Sofas",E79/Abfrage_Ergebnis!$E$19,IF(C79="Stauraummöbel (z.B. Regal-, Schubladen-, Vitrinen)",E79/Abfrage_Ergebnis!$E$20,IF(C79="Kücheneinrichtungen (Ober- oder Unterschrank), Empfangstheken, Coffee Point Thekenelemente o.ä.",E79/Abfrage_Ergebnis!$E$21,IF(C79="Betten",E79/Abfrage_Ergebnis!$E$22,IF(C79="sonstige Möbel",E79/Abfrage_Ergebnis!$E$23))))))))),"")</f>
        <v/>
      </c>
      <c r="G79" s="219"/>
      <c r="H79" s="220"/>
      <c r="I79" s="221"/>
      <c r="J79" s="221"/>
      <c r="K79" s="221"/>
      <c r="L79" s="221"/>
      <c r="M79" s="221"/>
      <c r="N79" s="221"/>
      <c r="O79" s="222"/>
      <c r="P79" s="220"/>
      <c r="Q79" s="221"/>
      <c r="R79" s="221"/>
      <c r="S79" s="221"/>
      <c r="T79" s="221"/>
      <c r="U79" s="223"/>
      <c r="V79" s="165" t="str">
        <f t="shared" si="2"/>
        <v>nicht erfüllt</v>
      </c>
      <c r="W79" s="166">
        <f t="shared" si="3"/>
        <v>0</v>
      </c>
      <c r="X79" s="394"/>
      <c r="Y79" s="116"/>
      <c r="Z79" s="116"/>
      <c r="AA79" s="116"/>
      <c r="AB79" s="116"/>
    </row>
    <row r="80" spans="3:28" ht="14.25" outlineLevel="1" thickBot="1" x14ac:dyDescent="0.25">
      <c r="C80" s="214"/>
      <c r="D80" s="215"/>
      <c r="E80" s="215"/>
      <c r="F80" s="164" t="str">
        <f>IFERROR(IF(OR(C80="",E80=""),"",IF(C80="Tische",E80/Abfrage_Ergebnis!$E$16,IF(C80="Rollcontainer",E80/Abfrage_Ergebnis!$E$17,IF(C80="Stühle",E80/Abfrage_Ergebnis!$E$18,IF(C80="Sessel / Sofas",E80/Abfrage_Ergebnis!$E$19,IF(C80="Stauraummöbel (z.B. Regal-, Schubladen-, Vitrinen)",E80/Abfrage_Ergebnis!$E$20,IF(C80="Kücheneinrichtungen (Ober- oder Unterschrank), Empfangstheken, Coffee Point Thekenelemente o.ä.",E80/Abfrage_Ergebnis!$E$21,IF(C80="Betten",E80/Abfrage_Ergebnis!$E$22,IF(C80="sonstige Möbel",E80/Abfrage_Ergebnis!$E$23))))))))),"")</f>
        <v/>
      </c>
      <c r="G80" s="219"/>
      <c r="H80" s="220"/>
      <c r="I80" s="221"/>
      <c r="J80" s="221"/>
      <c r="K80" s="221"/>
      <c r="L80" s="221"/>
      <c r="M80" s="221"/>
      <c r="N80" s="221"/>
      <c r="O80" s="222"/>
      <c r="P80" s="220"/>
      <c r="Q80" s="221"/>
      <c r="R80" s="221"/>
      <c r="S80" s="221"/>
      <c r="T80" s="221"/>
      <c r="U80" s="223"/>
      <c r="V80" s="165" t="str">
        <f t="shared" ref="V80:V82" si="4">IF(AND(C80&lt;&gt;"",G80="Ja",OR(COUNTIF(H80:O80,"a")&gt;=1,COUNTIF(P80:U80,"a")&gt;=2)),"erfüllt","nicht erfüllt")</f>
        <v>nicht erfüllt</v>
      </c>
      <c r="W80" s="166">
        <f t="shared" ref="W80:W82" si="5">IFERROR(IF(V80="erfüllt",F80,0),"")</f>
        <v>0</v>
      </c>
      <c r="X80" s="394"/>
      <c r="Y80" s="116"/>
      <c r="Z80" s="116"/>
      <c r="AA80" s="116"/>
      <c r="AB80" s="116"/>
    </row>
    <row r="81" spans="1:28" ht="14.25" outlineLevel="1" thickBot="1" x14ac:dyDescent="0.25">
      <c r="A81" s="116"/>
      <c r="B81" s="116"/>
      <c r="C81" s="214"/>
      <c r="D81" s="215"/>
      <c r="E81" s="215"/>
      <c r="F81" s="164" t="str">
        <f>IFERROR(IF(OR(C81="",E81=""),"",IF(C81="Tische",E81/Abfrage_Ergebnis!$E$16,IF(C81="Rollcontainer",E81/Abfrage_Ergebnis!$E$17,IF(C81="Stühle",E81/Abfrage_Ergebnis!$E$18,IF(C81="Sessel / Sofas",E81/Abfrage_Ergebnis!$E$19,IF(C81="Stauraummöbel (z.B. Regal-, Schubladen-, Vitrinen)",E81/Abfrage_Ergebnis!$E$20,IF(C81="Kücheneinrichtungen (Ober- oder Unterschrank), Empfangstheken, Coffee Point Thekenelemente o.ä.",E81/Abfrage_Ergebnis!$E$21,IF(C81="Betten",E81/Abfrage_Ergebnis!$E$22,IF(C81="sonstige Möbel",E81/Abfrage_Ergebnis!$E$23))))))))),"")</f>
        <v/>
      </c>
      <c r="G81" s="219"/>
      <c r="H81" s="220"/>
      <c r="I81" s="221"/>
      <c r="J81" s="221"/>
      <c r="K81" s="221"/>
      <c r="L81" s="221"/>
      <c r="M81" s="221"/>
      <c r="N81" s="221"/>
      <c r="O81" s="222"/>
      <c r="P81" s="220"/>
      <c r="Q81" s="221"/>
      <c r="R81" s="221"/>
      <c r="S81" s="221"/>
      <c r="T81" s="221"/>
      <c r="U81" s="223"/>
      <c r="V81" s="165" t="str">
        <f t="shared" si="4"/>
        <v>nicht erfüllt</v>
      </c>
      <c r="W81" s="166">
        <f t="shared" si="5"/>
        <v>0</v>
      </c>
      <c r="X81" s="394"/>
      <c r="Y81" s="116"/>
      <c r="Z81" s="116"/>
      <c r="AA81" s="116"/>
      <c r="AB81" s="116"/>
    </row>
    <row r="82" spans="1:28" ht="14.25" outlineLevel="1" thickBot="1" x14ac:dyDescent="0.25">
      <c r="C82" s="217"/>
      <c r="D82" s="218"/>
      <c r="E82" s="218"/>
      <c r="F82" s="164" t="str">
        <f>IFERROR(IF(OR(C82="",E82=""),"",IF(C82="Tische",E82/Abfrage_Ergebnis!$E$16,IF(C82="Rollcontainer",E82/Abfrage_Ergebnis!$E$17,IF(C82="Stühle",E82/Abfrage_Ergebnis!$E$18,IF(C82="Sessel / Sofas",E82/Abfrage_Ergebnis!$E$19,IF(C82="Stauraummöbel (z.B. Regal-, Schubladen-, Vitrinen)",E82/Abfrage_Ergebnis!$E$20,IF(C82="Kücheneinrichtungen (Ober- oder Unterschrank), Empfangstheken, Coffee Point Thekenelemente o.ä.",E82/Abfrage_Ergebnis!$E$21,IF(C82="Betten",E82/Abfrage_Ergebnis!$E$22,IF(C82="sonstige Möbel",E82/Abfrage_Ergebnis!$E$23))))))))),"")</f>
        <v/>
      </c>
      <c r="G82" s="219"/>
      <c r="H82" s="224"/>
      <c r="I82" s="225"/>
      <c r="J82" s="225"/>
      <c r="K82" s="225"/>
      <c r="L82" s="225"/>
      <c r="M82" s="225"/>
      <c r="N82" s="225"/>
      <c r="O82" s="226"/>
      <c r="P82" s="224"/>
      <c r="Q82" s="225"/>
      <c r="R82" s="225"/>
      <c r="S82" s="225"/>
      <c r="T82" s="225"/>
      <c r="U82" s="227"/>
      <c r="V82" s="165" t="str">
        <f t="shared" si="4"/>
        <v>nicht erfüllt</v>
      </c>
      <c r="W82" s="166">
        <f t="shared" si="5"/>
        <v>0</v>
      </c>
      <c r="X82" s="395"/>
      <c r="Y82" s="116"/>
      <c r="Z82" s="116"/>
      <c r="AA82" s="116"/>
      <c r="AB82" s="116"/>
    </row>
    <row r="83" spans="1:28" ht="13.5" thickBot="1" x14ac:dyDescent="0.25">
      <c r="B83" s="169"/>
      <c r="C83" s="170"/>
      <c r="D83" s="171"/>
      <c r="E83" s="171"/>
      <c r="F83" s="171"/>
      <c r="G83" s="172"/>
      <c r="H83" s="173"/>
      <c r="I83" s="174"/>
      <c r="J83" s="174"/>
      <c r="K83" s="174"/>
      <c r="L83" s="174"/>
      <c r="M83" s="174"/>
      <c r="N83" s="174"/>
      <c r="O83" s="174"/>
      <c r="P83" s="389"/>
      <c r="Q83" s="390"/>
      <c r="R83" s="390"/>
      <c r="S83" s="390"/>
      <c r="T83" s="390"/>
      <c r="U83" s="175"/>
      <c r="V83" s="176"/>
      <c r="W83" s="176"/>
      <c r="X83" s="177">
        <f>(W84/8+W85/8+W86/8+W87/8+W88/8+W89/8+W90/8+W91/8)*100</f>
        <v>100</v>
      </c>
      <c r="Y83" s="116" t="s">
        <v>133</v>
      </c>
      <c r="Z83" s="116"/>
      <c r="AA83" s="116"/>
      <c r="AB83" s="116"/>
    </row>
    <row r="84" spans="1:28" hidden="1" outlineLevel="1" x14ac:dyDescent="0.2">
      <c r="C84" s="178"/>
      <c r="D84" s="178"/>
      <c r="E84" s="4" t="s">
        <v>23</v>
      </c>
      <c r="F84" s="179">
        <f>IF(Abfrage_Ergebnis!E16=0,1,SUMIF($C$15:$C$82,"Tische",$F$15:$F$82))</f>
        <v>1</v>
      </c>
      <c r="G84" s="180">
        <f>IF(F84&gt;1,1,F84)</f>
        <v>1</v>
      </c>
      <c r="U84" s="4" t="s">
        <v>23</v>
      </c>
      <c r="W84" s="178">
        <f>IF(Abfrage_Ergebnis!E16=0,1,IF(SUMIF($C$15:$C$82,"Tische",$W$15:$W$82)&gt;1,1,SUMIF($C$15:$C$82,"Tische",$W$15:$W$82)))</f>
        <v>1</v>
      </c>
    </row>
    <row r="85" spans="1:28" hidden="1" outlineLevel="1" x14ac:dyDescent="0.2">
      <c r="C85" s="178"/>
      <c r="D85" s="178"/>
      <c r="E85" s="4" t="s">
        <v>24</v>
      </c>
      <c r="F85" s="179">
        <f>IF(Abfrage_Ergebnis!E17=0,1,SUMIF($C$15:$C$82,"Rollcontainer",$F$15:$F$82))</f>
        <v>1</v>
      </c>
      <c r="G85" s="180">
        <f t="shared" ref="G85:G91" si="6">IF(F85&gt;1,1,F85)</f>
        <v>1</v>
      </c>
      <c r="U85" s="4" t="s">
        <v>24</v>
      </c>
      <c r="W85" s="178">
        <f>IF(Abfrage_Ergebnis!E17=0,1,IF(SUMIF($C$15:$C$82,"Rollcontainer",$W$15:$W$82)&gt;1,1,SUMIF($C$15:$C$82,"Rollcontainer",$W$15:$W$82)))</f>
        <v>1</v>
      </c>
      <c r="AA85" s="116"/>
    </row>
    <row r="86" spans="1:28" hidden="1" outlineLevel="1" x14ac:dyDescent="0.2">
      <c r="C86" s="178"/>
      <c r="D86" s="178"/>
      <c r="E86" s="4" t="s">
        <v>25</v>
      </c>
      <c r="F86" s="179">
        <f>IF(Abfrage_Ergebnis!E18=0,1,SUMIF($C$15:$C$82,"Stühle",$F$15:$F$82))</f>
        <v>1</v>
      </c>
      <c r="G86" s="180">
        <f t="shared" si="6"/>
        <v>1</v>
      </c>
      <c r="U86" s="4" t="s">
        <v>25</v>
      </c>
      <c r="W86" s="178">
        <f>IF(Abfrage_Ergebnis!E18=0,1,IF(SUMIF($C$15:$C$82,"Stühle",$W$15:$W$82)&gt;1,1,SUMIF($C$15:$C$82,"Stühle",$W$15:$W$82)))</f>
        <v>1</v>
      </c>
    </row>
    <row r="87" spans="1:28" hidden="1" outlineLevel="1" x14ac:dyDescent="0.2">
      <c r="C87" s="178"/>
      <c r="D87" s="178"/>
      <c r="E87" s="4" t="s">
        <v>26</v>
      </c>
      <c r="F87" s="179">
        <f>IF(Abfrage_Ergebnis!E19=0,1,SUMIF($C$15:$C$82,"Sessel / Sofas",$F$15:$F$82))</f>
        <v>1</v>
      </c>
      <c r="G87" s="180">
        <f t="shared" si="6"/>
        <v>1</v>
      </c>
      <c r="U87" s="4" t="s">
        <v>26</v>
      </c>
      <c r="W87" s="178">
        <f>IF(Abfrage_Ergebnis!E19=0,1,IF(SUMIF($C$15:$C$82,"Sessel / Sofas",$W$15:$W$82)&gt;1,1,SUMIF($C$15:$C$82,"Sessel / Sofas",$W$15:$W$82)))</f>
        <v>1</v>
      </c>
    </row>
    <row r="88" spans="1:28" hidden="1" outlineLevel="1" x14ac:dyDescent="0.2">
      <c r="C88" s="178"/>
      <c r="D88" s="178"/>
      <c r="E88" s="4" t="s">
        <v>126</v>
      </c>
      <c r="F88" s="179">
        <f>IF(Abfrage_Ergebnis!E20=0,1,SUMIF($C$15:$C$82,"Stauraummöbel (z.B. Regal-, Schubladen-, Vitrinen)",$F$15:$F$82))</f>
        <v>1</v>
      </c>
      <c r="G88" s="180">
        <f t="shared" si="6"/>
        <v>1</v>
      </c>
      <c r="U88" s="4" t="s">
        <v>126</v>
      </c>
      <c r="W88" s="178">
        <f>IF(Abfrage_Ergebnis!E20=0,1,IF(SUMIF($C$15:$C$82,"Stauraummöbel (z.B. Regal-, Schubladen-, Vitrinen)",$W$15:$W$82)&gt;1,1,SUMIF($C$15:$C$82,"Stauraummöbel (z.B. Regal-, Schubladen-, Vitrinen)",$W$15:$W$82)))</f>
        <v>1</v>
      </c>
    </row>
    <row r="89" spans="1:28" hidden="1" outlineLevel="1" x14ac:dyDescent="0.2">
      <c r="C89" s="178"/>
      <c r="D89" s="178"/>
      <c r="E89" s="4" t="s">
        <v>127</v>
      </c>
      <c r="F89" s="179">
        <f>IF(Abfrage_Ergebnis!E21=0,1,SUMIF($C$15:$C$82,"Kücheneinrichtungen (Ober- oder Unterschrank), Empfangstheken, Coffee Point Thekenelemente o.ä.",$F$15:$F$82))</f>
        <v>1</v>
      </c>
      <c r="G89" s="180">
        <f t="shared" si="6"/>
        <v>1</v>
      </c>
      <c r="U89" s="4" t="s">
        <v>127</v>
      </c>
      <c r="W89" s="178">
        <f>IF(Abfrage_Ergebnis!E21=0,1,IF(SUMIF($C$15:$C$82,"Kücheneinrichtungen (Ober- oder Unterschrank), Empfangstheken, Coffee Point Thekenelemente o.ä.",$W$15:$W$82)&gt;1,1,SUMIF($C$15:$C$82,"Kücheneinrichtungen (Ober- oder Unterschrank), Empfangstheken, Coffee Point Thekenelemente o.ä.",$W$15:$W$82)))</f>
        <v>1</v>
      </c>
    </row>
    <row r="90" spans="1:28" hidden="1" outlineLevel="1" x14ac:dyDescent="0.2">
      <c r="C90" s="178"/>
      <c r="D90" s="178"/>
      <c r="E90" s="4" t="s">
        <v>172</v>
      </c>
      <c r="F90" s="179">
        <f>IF(Abfrage_Ergebnis!E22=0,1,SUMIF($C$15:$C$82,"Betten",$F$15:$F$82))</f>
        <v>1</v>
      </c>
      <c r="G90" s="180">
        <f t="shared" si="6"/>
        <v>1</v>
      </c>
      <c r="U90" s="4" t="s">
        <v>172</v>
      </c>
      <c r="W90" s="178">
        <f>IF(Abfrage_Ergebnis!E22=0,1,IF(SUMIF($C$15:$C$82,"Betten",$W$15:$W$82)&gt;1,1,SUMIF($C$15:$C$82,"Betten",$W$15:$W$82)))</f>
        <v>1</v>
      </c>
    </row>
    <row r="91" spans="1:28" hidden="1" outlineLevel="1" x14ac:dyDescent="0.2">
      <c r="C91" s="178"/>
      <c r="D91" s="178"/>
      <c r="E91" s="4" t="s">
        <v>167</v>
      </c>
      <c r="F91" s="179">
        <f>IF(Abfrage_Ergebnis!E23=0,1,SUMIF($C$15:$C$82,"sonstige Möbel",$F$15:$F$82))</f>
        <v>1</v>
      </c>
      <c r="G91" s="180">
        <f t="shared" si="6"/>
        <v>1</v>
      </c>
      <c r="U91" s="4" t="s">
        <v>167</v>
      </c>
      <c r="W91" s="178">
        <f>IF(Abfrage_Ergebnis!E23=0,1,IF(SUMIF($C$15:$C$82,"sonstige Möbel",$W$15:$W$82)&gt;1,1,SUMIF($C$15:$C$82,"sonstige Möbel",$W$15:$W$82)))</f>
        <v>1</v>
      </c>
    </row>
    <row r="92" spans="1:28" hidden="1" outlineLevel="1" x14ac:dyDescent="0.2">
      <c r="C92" s="178"/>
      <c r="D92" s="178"/>
      <c r="E92" s="178"/>
      <c r="F92" s="178"/>
      <c r="G92" s="181">
        <f>(G84/8+G85/8+G86/8+G87/8+G88/8+G89/8+G90/8+G91/8)*100</f>
        <v>100</v>
      </c>
    </row>
    <row r="93" spans="1:28" collapsed="1" x14ac:dyDescent="0.2">
      <c r="C93" s="178"/>
      <c r="D93" s="178"/>
      <c r="E93" s="178"/>
      <c r="F93" s="178"/>
    </row>
    <row r="94" spans="1:28" x14ac:dyDescent="0.2">
      <c r="C94" s="178"/>
      <c r="D94" s="178"/>
      <c r="E94" s="178"/>
      <c r="F94" s="178"/>
    </row>
    <row r="95" spans="1:28" ht="13.5" thickBot="1" x14ac:dyDescent="0.25"/>
    <row r="96" spans="1:28" ht="13.5" thickBot="1" x14ac:dyDescent="0.25">
      <c r="B96" s="182" t="s">
        <v>7</v>
      </c>
      <c r="C96" s="183"/>
      <c r="D96" s="183"/>
      <c r="E96" s="183"/>
      <c r="F96" s="183"/>
    </row>
    <row r="97" spans="2:6" x14ac:dyDescent="0.2">
      <c r="B97" s="184"/>
      <c r="C97" s="183"/>
      <c r="D97" s="183"/>
      <c r="E97" s="183"/>
      <c r="F97" s="183"/>
    </row>
    <row r="98" spans="2:6" x14ac:dyDescent="0.2">
      <c r="B98" s="185" t="s">
        <v>49</v>
      </c>
      <c r="C98" s="186"/>
      <c r="D98" s="186"/>
      <c r="E98" s="186"/>
      <c r="F98" s="186"/>
    </row>
    <row r="99" spans="2:6" ht="16.5" x14ac:dyDescent="0.2">
      <c r="B99" s="187" t="s">
        <v>46</v>
      </c>
      <c r="C99" s="188"/>
      <c r="D99" s="188"/>
      <c r="E99" s="188"/>
      <c r="F99" s="188"/>
    </row>
    <row r="100" spans="2:6" ht="16.5" x14ac:dyDescent="0.2">
      <c r="B100" s="189" t="s">
        <v>47</v>
      </c>
    </row>
    <row r="101" spans="2:6" ht="16.5" x14ac:dyDescent="0.2">
      <c r="B101" s="190" t="s">
        <v>48</v>
      </c>
    </row>
    <row r="102" spans="2:6" ht="16.5" x14ac:dyDescent="0.2">
      <c r="B102" s="189" t="s">
        <v>50</v>
      </c>
    </row>
    <row r="103" spans="2:6" ht="16.5" x14ac:dyDescent="0.2">
      <c r="B103" s="190" t="s">
        <v>51</v>
      </c>
    </row>
    <row r="104" spans="2:6" ht="16.5" x14ac:dyDescent="0.2">
      <c r="B104" s="190" t="s">
        <v>52</v>
      </c>
    </row>
    <row r="105" spans="2:6" ht="16.5" x14ac:dyDescent="0.2">
      <c r="B105" s="190" t="s">
        <v>53</v>
      </c>
    </row>
    <row r="106" spans="2:6" ht="16.5" x14ac:dyDescent="0.2">
      <c r="B106" s="190" t="s">
        <v>54</v>
      </c>
    </row>
    <row r="107" spans="2:6" x14ac:dyDescent="0.2">
      <c r="B107" s="185" t="s">
        <v>32</v>
      </c>
    </row>
    <row r="108" spans="2:6" ht="16.5" x14ac:dyDescent="0.2">
      <c r="B108" s="190" t="s">
        <v>55</v>
      </c>
    </row>
    <row r="109" spans="2:6" ht="16.5" x14ac:dyDescent="0.2">
      <c r="B109" s="190" t="s">
        <v>56</v>
      </c>
    </row>
    <row r="110" spans="2:6" ht="16.5" x14ac:dyDescent="0.2">
      <c r="B110" s="190" t="s">
        <v>57</v>
      </c>
    </row>
    <row r="111" spans="2:6" ht="16.5" x14ac:dyDescent="0.2">
      <c r="B111" s="190" t="s">
        <v>58</v>
      </c>
    </row>
    <row r="112" spans="2:6" ht="16.5" x14ac:dyDescent="0.2">
      <c r="B112" s="190" t="s">
        <v>59</v>
      </c>
    </row>
    <row r="113" spans="2:2" ht="16.5" x14ac:dyDescent="0.2">
      <c r="B113" s="190" t="s">
        <v>60</v>
      </c>
    </row>
  </sheetData>
  <sheetProtection password="A3A3" sheet="1" objects="1" scenarios="1"/>
  <mergeCells count="7">
    <mergeCell ref="H12:O12"/>
    <mergeCell ref="P12:U12"/>
    <mergeCell ref="P83:T83"/>
    <mergeCell ref="V14:W14"/>
    <mergeCell ref="X73:X82"/>
    <mergeCell ref="H14:U14"/>
    <mergeCell ref="V13:W13"/>
  </mergeCells>
  <conditionalFormatting sqref="G4">
    <cfRule type="expression" dxfId="8" priority="8">
      <formula>$G$4&gt;$E$4</formula>
    </cfRule>
  </conditionalFormatting>
  <conditionalFormatting sqref="G5">
    <cfRule type="expression" dxfId="7" priority="7">
      <formula>$G$5&gt;$E$5</formula>
    </cfRule>
  </conditionalFormatting>
  <conditionalFormatting sqref="G6">
    <cfRule type="expression" dxfId="6" priority="6">
      <formula>$G$6&gt;$E$6</formula>
    </cfRule>
  </conditionalFormatting>
  <conditionalFormatting sqref="G7">
    <cfRule type="expression" dxfId="5" priority="5">
      <formula>$G$7&gt;$E$7</formula>
    </cfRule>
  </conditionalFormatting>
  <conditionalFormatting sqref="G8">
    <cfRule type="expression" dxfId="4" priority="4">
      <formula>$G$8&gt;$E$8</formula>
    </cfRule>
  </conditionalFormatting>
  <conditionalFormatting sqref="G9:G11">
    <cfRule type="expression" dxfId="3" priority="3">
      <formula>$G$9&gt;$E$9</formula>
    </cfRule>
  </conditionalFormatting>
  <conditionalFormatting sqref="G10">
    <cfRule type="expression" dxfId="2" priority="2">
      <formula>$G$10&gt;$E$10</formula>
    </cfRule>
  </conditionalFormatting>
  <conditionalFormatting sqref="G11">
    <cfRule type="expression" dxfId="1" priority="1">
      <formula>$G$11&gt;$E$11</formula>
    </cfRule>
  </conditionalFormatting>
  <dataValidations count="1">
    <dataValidation type="list" allowBlank="1" showInputMessage="1" showErrorMessage="1" sqref="G15:G82">
      <formula1>"Ja,Nein"</formula1>
    </dataValidation>
  </dataValidations>
  <pageMargins left="0.7" right="0.7" top="0.78740157499999996" bottom="0.78740157499999996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DATA!$A$5:$A$12</xm:f>
          </x14:formula1>
          <xm:sqref>C15:C82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2:T98"/>
  <sheetViews>
    <sheetView zoomScale="60" zoomScaleNormal="60" workbookViewId="0">
      <selection activeCell="B4" sqref="B4"/>
    </sheetView>
  </sheetViews>
  <sheetFormatPr baseColWidth="10" defaultRowHeight="12.75" outlineLevelRow="1" x14ac:dyDescent="0.2"/>
  <cols>
    <col min="1" max="1" width="1.42578125" style="4" customWidth="1"/>
    <col min="2" max="2" width="11.42578125" style="4" customWidth="1"/>
    <col min="3" max="3" width="55" style="4" customWidth="1"/>
    <col min="4" max="6" width="30.5703125" style="4" customWidth="1"/>
    <col min="7" max="7" width="46.85546875" style="4" customWidth="1"/>
    <col min="8" max="14" width="16" style="4" customWidth="1"/>
    <col min="15" max="15" width="14.42578125" style="4" customWidth="1"/>
    <col min="16" max="16" width="11.42578125" style="4"/>
    <col min="17" max="17" width="33.28515625" style="4" customWidth="1"/>
    <col min="18" max="18" width="11.42578125" style="4"/>
    <col min="19" max="19" width="19" style="4" customWidth="1"/>
    <col min="20" max="20" width="18.85546875" style="4" customWidth="1"/>
    <col min="21" max="16384" width="11.42578125" style="4"/>
  </cols>
  <sheetData>
    <row r="2" spans="2:18" ht="18" x14ac:dyDescent="0.25">
      <c r="B2" s="129" t="s">
        <v>22</v>
      </c>
      <c r="C2" s="129"/>
      <c r="D2" s="129"/>
      <c r="E2" s="129"/>
      <c r="F2" s="129"/>
      <c r="G2" s="129"/>
      <c r="H2" s="129"/>
      <c r="I2" s="129"/>
      <c r="J2" s="129"/>
      <c r="R2" s="141"/>
    </row>
    <row r="3" spans="2:18" ht="18" customHeight="1" x14ac:dyDescent="0.4">
      <c r="C3" s="142"/>
      <c r="H3" s="116"/>
      <c r="R3" s="141"/>
    </row>
    <row r="4" spans="2:18" ht="25.5" x14ac:dyDescent="0.2">
      <c r="D4" s="191"/>
      <c r="E4" s="191"/>
      <c r="F4" s="191"/>
      <c r="G4" s="136" t="s">
        <v>153</v>
      </c>
      <c r="H4" s="191"/>
      <c r="I4" s="191"/>
      <c r="J4" s="191"/>
      <c r="K4" s="191"/>
      <c r="L4" s="191"/>
      <c r="M4" s="191"/>
      <c r="N4" s="191"/>
      <c r="O4" s="116"/>
      <c r="R4" s="141"/>
    </row>
    <row r="5" spans="2:18" x14ac:dyDescent="0.2">
      <c r="D5" s="191" t="s">
        <v>152</v>
      </c>
      <c r="E5" s="191">
        <f>Abfrage_Ergebnis!E24</f>
        <v>0</v>
      </c>
      <c r="F5" s="191" t="s">
        <v>135</v>
      </c>
      <c r="G5" s="191">
        <f>SUM(E9:E76)</f>
        <v>0</v>
      </c>
      <c r="H5" s="191"/>
      <c r="I5" s="191"/>
      <c r="J5" s="191"/>
      <c r="K5" s="191"/>
      <c r="L5" s="191"/>
      <c r="M5" s="191"/>
      <c r="N5" s="191"/>
      <c r="O5" s="116"/>
      <c r="R5" s="141"/>
    </row>
    <row r="6" spans="2:18" ht="12.75" customHeight="1" thickBot="1" x14ac:dyDescent="0.25">
      <c r="C6" s="116"/>
      <c r="D6" s="147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47"/>
      <c r="P6" s="147"/>
      <c r="R6" s="141"/>
    </row>
    <row r="7" spans="2:18" ht="118.5" customHeight="1" thickBot="1" x14ac:dyDescent="0.25">
      <c r="B7" s="148"/>
      <c r="C7" s="149" t="s">
        <v>13</v>
      </c>
      <c r="D7" s="150" t="s">
        <v>12</v>
      </c>
      <c r="E7" s="192" t="s">
        <v>149</v>
      </c>
      <c r="F7" s="192" t="s">
        <v>150</v>
      </c>
      <c r="G7" s="152" t="s">
        <v>27</v>
      </c>
      <c r="H7" s="193" t="s">
        <v>21</v>
      </c>
      <c r="I7" s="156" t="s">
        <v>20</v>
      </c>
      <c r="J7" s="156" t="s">
        <v>19</v>
      </c>
      <c r="K7" s="156" t="s">
        <v>18</v>
      </c>
      <c r="L7" s="156" t="s">
        <v>17</v>
      </c>
      <c r="M7" s="156" t="s">
        <v>10</v>
      </c>
      <c r="N7" s="194" t="s">
        <v>16</v>
      </c>
      <c r="O7" s="398" t="s">
        <v>9</v>
      </c>
      <c r="P7" s="399"/>
      <c r="Q7" s="157"/>
      <c r="R7" s="158"/>
    </row>
    <row r="8" spans="2:18" ht="13.5" thickBot="1" x14ac:dyDescent="0.25">
      <c r="B8" s="148"/>
      <c r="C8" s="159"/>
      <c r="D8" s="160"/>
      <c r="E8" s="160"/>
      <c r="F8" s="160"/>
      <c r="G8" s="161"/>
      <c r="H8" s="396" t="s">
        <v>8</v>
      </c>
      <c r="I8" s="397"/>
      <c r="J8" s="397"/>
      <c r="K8" s="397"/>
      <c r="L8" s="397"/>
      <c r="M8" s="397"/>
      <c r="N8" s="397"/>
      <c r="O8" s="391"/>
      <c r="P8" s="392"/>
      <c r="Q8" s="162"/>
      <c r="R8" s="163"/>
    </row>
    <row r="9" spans="2:18" ht="14.25" thickBot="1" x14ac:dyDescent="0.25">
      <c r="B9" s="116"/>
      <c r="C9" s="214"/>
      <c r="D9" s="228"/>
      <c r="E9" s="228"/>
      <c r="F9" s="195" t="str">
        <f>IFERROR(IF(E9="","",E9/$E$5),"")</f>
        <v/>
      </c>
      <c r="G9" s="228"/>
      <c r="H9" s="220"/>
      <c r="I9" s="221"/>
      <c r="J9" s="221"/>
      <c r="K9" s="221"/>
      <c r="L9" s="221"/>
      <c r="M9" s="221"/>
      <c r="N9" s="221"/>
      <c r="O9" s="196" t="str">
        <f>IF(AND(COUNTIF(H9:N9,"a")&gt;=1,G9="Ja"),"erfüllt","nicht erfüllt")</f>
        <v>nicht erfüllt</v>
      </c>
      <c r="P9" s="197">
        <f>IFERROR(IF(O9="erfüllt",F9,0),"")</f>
        <v>0</v>
      </c>
      <c r="Q9" s="163"/>
      <c r="R9" s="163"/>
    </row>
    <row r="10" spans="2:18" ht="14.25" thickBot="1" x14ac:dyDescent="0.25">
      <c r="C10" s="214"/>
      <c r="D10" s="228"/>
      <c r="E10" s="228"/>
      <c r="F10" s="195" t="str">
        <f t="shared" ref="F10:F73" si="0">IFERROR(IF(E10="","",E10/$E$5),"")</f>
        <v/>
      </c>
      <c r="G10" s="228"/>
      <c r="H10" s="220"/>
      <c r="I10" s="221"/>
      <c r="J10" s="221"/>
      <c r="K10" s="221"/>
      <c r="L10" s="221"/>
      <c r="M10" s="221"/>
      <c r="N10" s="221"/>
      <c r="O10" s="196" t="str">
        <f t="shared" ref="O10:O73" si="1">IF(AND(COUNTIF(H10:N10,"a")&gt;=1,G10="Ja"),"erfüllt","nicht erfüllt")</f>
        <v>nicht erfüllt</v>
      </c>
      <c r="P10" s="198">
        <f t="shared" ref="P10:P73" si="2">IFERROR(IF(O10="erfüllt",F10,0),"")</f>
        <v>0</v>
      </c>
      <c r="Q10" s="163"/>
      <c r="R10" s="163"/>
    </row>
    <row r="11" spans="2:18" ht="14.25" thickBot="1" x14ac:dyDescent="0.25">
      <c r="C11" s="214"/>
      <c r="D11" s="228"/>
      <c r="E11" s="228"/>
      <c r="F11" s="195" t="str">
        <f t="shared" si="0"/>
        <v/>
      </c>
      <c r="G11" s="228"/>
      <c r="H11" s="220"/>
      <c r="I11" s="221"/>
      <c r="J11" s="221"/>
      <c r="K11" s="221"/>
      <c r="L11" s="221"/>
      <c r="M11" s="221"/>
      <c r="N11" s="221"/>
      <c r="O11" s="196" t="str">
        <f t="shared" si="1"/>
        <v>nicht erfüllt</v>
      </c>
      <c r="P11" s="198">
        <f t="shared" si="2"/>
        <v>0</v>
      </c>
      <c r="Q11" s="163"/>
      <c r="R11" s="163"/>
    </row>
    <row r="12" spans="2:18" ht="14.25" thickBot="1" x14ac:dyDescent="0.25">
      <c r="C12" s="214"/>
      <c r="D12" s="228"/>
      <c r="E12" s="228"/>
      <c r="F12" s="195" t="str">
        <f t="shared" si="0"/>
        <v/>
      </c>
      <c r="G12" s="228"/>
      <c r="H12" s="220"/>
      <c r="I12" s="221"/>
      <c r="J12" s="221"/>
      <c r="K12" s="221"/>
      <c r="L12" s="221"/>
      <c r="M12" s="221"/>
      <c r="N12" s="221"/>
      <c r="O12" s="196" t="str">
        <f t="shared" si="1"/>
        <v>nicht erfüllt</v>
      </c>
      <c r="P12" s="198">
        <f t="shared" si="2"/>
        <v>0</v>
      </c>
      <c r="Q12" s="163"/>
      <c r="R12" s="163"/>
    </row>
    <row r="13" spans="2:18" ht="14.25" thickBot="1" x14ac:dyDescent="0.25">
      <c r="C13" s="214"/>
      <c r="D13" s="228"/>
      <c r="E13" s="228"/>
      <c r="F13" s="195" t="str">
        <f t="shared" si="0"/>
        <v/>
      </c>
      <c r="G13" s="228"/>
      <c r="H13" s="220"/>
      <c r="I13" s="221"/>
      <c r="J13" s="221"/>
      <c r="K13" s="221"/>
      <c r="L13" s="221"/>
      <c r="M13" s="221"/>
      <c r="N13" s="221"/>
      <c r="O13" s="196" t="str">
        <f t="shared" si="1"/>
        <v>nicht erfüllt</v>
      </c>
      <c r="P13" s="198">
        <f t="shared" si="2"/>
        <v>0</v>
      </c>
      <c r="Q13" s="163"/>
      <c r="R13" s="163"/>
    </row>
    <row r="14" spans="2:18" ht="14.25" thickBot="1" x14ac:dyDescent="0.25">
      <c r="C14" s="214"/>
      <c r="D14" s="228"/>
      <c r="E14" s="228"/>
      <c r="F14" s="195" t="str">
        <f t="shared" si="0"/>
        <v/>
      </c>
      <c r="G14" s="228"/>
      <c r="H14" s="220"/>
      <c r="I14" s="221"/>
      <c r="J14" s="221"/>
      <c r="K14" s="221"/>
      <c r="L14" s="221"/>
      <c r="M14" s="221"/>
      <c r="N14" s="221"/>
      <c r="O14" s="196" t="str">
        <f t="shared" si="1"/>
        <v>nicht erfüllt</v>
      </c>
      <c r="P14" s="198">
        <f t="shared" si="2"/>
        <v>0</v>
      </c>
      <c r="Q14" s="163"/>
      <c r="R14" s="163"/>
    </row>
    <row r="15" spans="2:18" ht="14.25" thickBot="1" x14ac:dyDescent="0.25">
      <c r="C15" s="214"/>
      <c r="D15" s="228"/>
      <c r="E15" s="228"/>
      <c r="F15" s="195" t="str">
        <f t="shared" si="0"/>
        <v/>
      </c>
      <c r="G15" s="228"/>
      <c r="H15" s="220"/>
      <c r="I15" s="221"/>
      <c r="J15" s="221"/>
      <c r="K15" s="221"/>
      <c r="L15" s="221"/>
      <c r="M15" s="221"/>
      <c r="N15" s="221"/>
      <c r="O15" s="196" t="str">
        <f t="shared" si="1"/>
        <v>nicht erfüllt</v>
      </c>
      <c r="P15" s="198">
        <f t="shared" si="2"/>
        <v>0</v>
      </c>
      <c r="Q15" s="163"/>
      <c r="R15" s="163"/>
    </row>
    <row r="16" spans="2:18" ht="14.25" thickBot="1" x14ac:dyDescent="0.25">
      <c r="C16" s="214"/>
      <c r="D16" s="228"/>
      <c r="E16" s="228"/>
      <c r="F16" s="195" t="str">
        <f t="shared" si="0"/>
        <v/>
      </c>
      <c r="G16" s="228"/>
      <c r="H16" s="220"/>
      <c r="I16" s="221"/>
      <c r="J16" s="221"/>
      <c r="K16" s="221"/>
      <c r="L16" s="221"/>
      <c r="M16" s="221"/>
      <c r="N16" s="221"/>
      <c r="O16" s="196" t="str">
        <f t="shared" si="1"/>
        <v>nicht erfüllt</v>
      </c>
      <c r="P16" s="198">
        <f t="shared" si="2"/>
        <v>0</v>
      </c>
      <c r="Q16" s="163"/>
      <c r="R16" s="163"/>
    </row>
    <row r="17" spans="3:20" ht="14.25" thickBot="1" x14ac:dyDescent="0.25">
      <c r="C17" s="214"/>
      <c r="D17" s="228"/>
      <c r="E17" s="228"/>
      <c r="F17" s="195" t="str">
        <f t="shared" si="0"/>
        <v/>
      </c>
      <c r="G17" s="228"/>
      <c r="H17" s="220"/>
      <c r="I17" s="221"/>
      <c r="J17" s="221"/>
      <c r="K17" s="221"/>
      <c r="L17" s="221"/>
      <c r="M17" s="221"/>
      <c r="N17" s="221"/>
      <c r="O17" s="196" t="str">
        <f t="shared" si="1"/>
        <v>nicht erfüllt</v>
      </c>
      <c r="P17" s="198">
        <f t="shared" si="2"/>
        <v>0</v>
      </c>
      <c r="Q17" s="163"/>
      <c r="R17" s="163"/>
    </row>
    <row r="18" spans="3:20" ht="14.25" thickBot="1" x14ac:dyDescent="0.25">
      <c r="C18" s="214"/>
      <c r="D18" s="228"/>
      <c r="E18" s="228"/>
      <c r="F18" s="195" t="str">
        <f t="shared" si="0"/>
        <v/>
      </c>
      <c r="G18" s="228"/>
      <c r="H18" s="220"/>
      <c r="I18" s="221"/>
      <c r="J18" s="221"/>
      <c r="K18" s="221"/>
      <c r="L18" s="221"/>
      <c r="M18" s="221"/>
      <c r="N18" s="221"/>
      <c r="O18" s="196" t="str">
        <f t="shared" si="1"/>
        <v>nicht erfüllt</v>
      </c>
      <c r="P18" s="198">
        <f t="shared" si="2"/>
        <v>0</v>
      </c>
      <c r="Q18" s="163"/>
      <c r="R18" s="163"/>
    </row>
    <row r="19" spans="3:20" ht="14.25" thickBot="1" x14ac:dyDescent="0.25">
      <c r="C19" s="214"/>
      <c r="D19" s="228"/>
      <c r="E19" s="228"/>
      <c r="F19" s="195" t="str">
        <f t="shared" si="0"/>
        <v/>
      </c>
      <c r="G19" s="228"/>
      <c r="H19" s="220"/>
      <c r="I19" s="221"/>
      <c r="J19" s="221"/>
      <c r="K19" s="221"/>
      <c r="L19" s="221"/>
      <c r="M19" s="221"/>
      <c r="N19" s="221"/>
      <c r="O19" s="196" t="str">
        <f t="shared" si="1"/>
        <v>nicht erfüllt</v>
      </c>
      <c r="P19" s="198">
        <f t="shared" si="2"/>
        <v>0</v>
      </c>
      <c r="Q19" s="163"/>
      <c r="R19" s="163"/>
    </row>
    <row r="20" spans="3:20" ht="14.25" thickBot="1" x14ac:dyDescent="0.25">
      <c r="C20" s="214"/>
      <c r="D20" s="228"/>
      <c r="E20" s="228"/>
      <c r="F20" s="195" t="str">
        <f t="shared" si="0"/>
        <v/>
      </c>
      <c r="G20" s="228"/>
      <c r="H20" s="220"/>
      <c r="I20" s="221"/>
      <c r="J20" s="221"/>
      <c r="K20" s="221"/>
      <c r="L20" s="221"/>
      <c r="M20" s="221"/>
      <c r="N20" s="221"/>
      <c r="O20" s="196" t="str">
        <f t="shared" si="1"/>
        <v>nicht erfüllt</v>
      </c>
      <c r="P20" s="198">
        <f t="shared" si="2"/>
        <v>0</v>
      </c>
      <c r="Q20" s="163"/>
      <c r="R20" s="163"/>
    </row>
    <row r="21" spans="3:20" ht="14.25" thickBot="1" x14ac:dyDescent="0.25">
      <c r="C21" s="214"/>
      <c r="D21" s="228"/>
      <c r="E21" s="228"/>
      <c r="F21" s="195" t="str">
        <f t="shared" si="0"/>
        <v/>
      </c>
      <c r="G21" s="228"/>
      <c r="H21" s="220"/>
      <c r="I21" s="221"/>
      <c r="J21" s="221"/>
      <c r="K21" s="230"/>
      <c r="L21" s="221"/>
      <c r="M21" s="221"/>
      <c r="N21" s="221"/>
      <c r="O21" s="196" t="str">
        <f t="shared" si="1"/>
        <v>nicht erfüllt</v>
      </c>
      <c r="P21" s="198">
        <f t="shared" si="2"/>
        <v>0</v>
      </c>
      <c r="Q21" s="163"/>
      <c r="R21" s="163"/>
      <c r="S21" s="116"/>
      <c r="T21" s="116"/>
    </row>
    <row r="22" spans="3:20" ht="14.25" outlineLevel="1" thickBot="1" x14ac:dyDescent="0.25">
      <c r="C22" s="214"/>
      <c r="D22" s="228"/>
      <c r="E22" s="228"/>
      <c r="F22" s="195" t="str">
        <f t="shared" si="0"/>
        <v/>
      </c>
      <c r="G22" s="228"/>
      <c r="H22" s="220"/>
      <c r="I22" s="230"/>
      <c r="J22" s="230"/>
      <c r="K22" s="221"/>
      <c r="L22" s="230"/>
      <c r="M22" s="221"/>
      <c r="N22" s="221"/>
      <c r="O22" s="196" t="str">
        <f t="shared" si="1"/>
        <v>nicht erfüllt</v>
      </c>
      <c r="P22" s="198">
        <f t="shared" si="2"/>
        <v>0</v>
      </c>
      <c r="Q22" s="163"/>
      <c r="R22" s="163"/>
      <c r="S22" s="116"/>
      <c r="T22" s="116"/>
    </row>
    <row r="23" spans="3:20" ht="14.25" outlineLevel="1" thickBot="1" x14ac:dyDescent="0.25">
      <c r="C23" s="214"/>
      <c r="D23" s="228"/>
      <c r="E23" s="228"/>
      <c r="F23" s="195" t="str">
        <f t="shared" si="0"/>
        <v/>
      </c>
      <c r="G23" s="228"/>
      <c r="H23" s="220"/>
      <c r="I23" s="221"/>
      <c r="J23" s="221"/>
      <c r="K23" s="221"/>
      <c r="L23" s="221"/>
      <c r="M23" s="221"/>
      <c r="N23" s="221"/>
      <c r="O23" s="196" t="str">
        <f t="shared" si="1"/>
        <v>nicht erfüllt</v>
      </c>
      <c r="P23" s="198">
        <f t="shared" si="2"/>
        <v>0</v>
      </c>
      <c r="Q23" s="163"/>
      <c r="R23" s="163"/>
      <c r="S23" s="116"/>
      <c r="T23" s="116"/>
    </row>
    <row r="24" spans="3:20" ht="14.25" outlineLevel="1" thickBot="1" x14ac:dyDescent="0.25">
      <c r="C24" s="214"/>
      <c r="D24" s="228"/>
      <c r="E24" s="228"/>
      <c r="F24" s="195" t="str">
        <f t="shared" si="0"/>
        <v/>
      </c>
      <c r="G24" s="228"/>
      <c r="H24" s="220"/>
      <c r="I24" s="221"/>
      <c r="J24" s="221"/>
      <c r="K24" s="221"/>
      <c r="L24" s="221"/>
      <c r="M24" s="221"/>
      <c r="N24" s="221"/>
      <c r="O24" s="196" t="str">
        <f t="shared" si="1"/>
        <v>nicht erfüllt</v>
      </c>
      <c r="P24" s="198">
        <f t="shared" si="2"/>
        <v>0</v>
      </c>
      <c r="Q24" s="163"/>
      <c r="R24" s="163"/>
      <c r="S24" s="116"/>
      <c r="T24" s="116"/>
    </row>
    <row r="25" spans="3:20" ht="14.25" outlineLevel="1" thickBot="1" x14ac:dyDescent="0.25">
      <c r="C25" s="214"/>
      <c r="D25" s="228"/>
      <c r="E25" s="228"/>
      <c r="F25" s="195" t="str">
        <f t="shared" si="0"/>
        <v/>
      </c>
      <c r="G25" s="228"/>
      <c r="H25" s="220"/>
      <c r="I25" s="221"/>
      <c r="J25" s="221"/>
      <c r="K25" s="221"/>
      <c r="L25" s="221"/>
      <c r="M25" s="221"/>
      <c r="N25" s="221"/>
      <c r="O25" s="196" t="str">
        <f t="shared" si="1"/>
        <v>nicht erfüllt</v>
      </c>
      <c r="P25" s="198">
        <f t="shared" si="2"/>
        <v>0</v>
      </c>
      <c r="Q25" s="163"/>
      <c r="R25" s="163"/>
      <c r="S25" s="116"/>
      <c r="T25" s="116"/>
    </row>
    <row r="26" spans="3:20" ht="14.25" outlineLevel="1" thickBot="1" x14ac:dyDescent="0.25">
      <c r="C26" s="214"/>
      <c r="D26" s="228"/>
      <c r="E26" s="228"/>
      <c r="F26" s="195" t="str">
        <f t="shared" si="0"/>
        <v/>
      </c>
      <c r="G26" s="228"/>
      <c r="H26" s="220"/>
      <c r="I26" s="221"/>
      <c r="J26" s="221"/>
      <c r="K26" s="221"/>
      <c r="L26" s="221"/>
      <c r="M26" s="221"/>
      <c r="N26" s="221"/>
      <c r="O26" s="196" t="str">
        <f t="shared" si="1"/>
        <v>nicht erfüllt</v>
      </c>
      <c r="P26" s="198">
        <f t="shared" si="2"/>
        <v>0</v>
      </c>
      <c r="Q26" s="163"/>
      <c r="R26" s="163"/>
      <c r="S26" s="116"/>
      <c r="T26" s="116"/>
    </row>
    <row r="27" spans="3:20" ht="14.25" outlineLevel="1" thickBot="1" x14ac:dyDescent="0.25">
      <c r="C27" s="214"/>
      <c r="D27" s="228"/>
      <c r="E27" s="228"/>
      <c r="F27" s="195" t="str">
        <f t="shared" si="0"/>
        <v/>
      </c>
      <c r="G27" s="228"/>
      <c r="H27" s="220"/>
      <c r="I27" s="221"/>
      <c r="J27" s="221"/>
      <c r="K27" s="221"/>
      <c r="L27" s="221"/>
      <c r="M27" s="221"/>
      <c r="N27" s="221"/>
      <c r="O27" s="196" t="str">
        <f t="shared" si="1"/>
        <v>nicht erfüllt</v>
      </c>
      <c r="P27" s="198">
        <f t="shared" si="2"/>
        <v>0</v>
      </c>
      <c r="Q27" s="163"/>
      <c r="R27" s="163"/>
      <c r="S27" s="116"/>
      <c r="T27" s="116"/>
    </row>
    <row r="28" spans="3:20" ht="14.25" outlineLevel="1" thickBot="1" x14ac:dyDescent="0.25">
      <c r="C28" s="214"/>
      <c r="D28" s="228"/>
      <c r="E28" s="228"/>
      <c r="F28" s="195" t="str">
        <f t="shared" si="0"/>
        <v/>
      </c>
      <c r="G28" s="228"/>
      <c r="H28" s="220"/>
      <c r="I28" s="221"/>
      <c r="J28" s="221"/>
      <c r="K28" s="221"/>
      <c r="L28" s="221"/>
      <c r="M28" s="221"/>
      <c r="N28" s="221"/>
      <c r="O28" s="196" t="str">
        <f t="shared" si="1"/>
        <v>nicht erfüllt</v>
      </c>
      <c r="P28" s="198">
        <f t="shared" si="2"/>
        <v>0</v>
      </c>
      <c r="Q28" s="163"/>
      <c r="R28" s="163"/>
      <c r="S28" s="116"/>
      <c r="T28" s="116"/>
    </row>
    <row r="29" spans="3:20" ht="14.25" outlineLevel="1" thickBot="1" x14ac:dyDescent="0.25">
      <c r="C29" s="214"/>
      <c r="D29" s="228"/>
      <c r="E29" s="228"/>
      <c r="F29" s="195" t="str">
        <f t="shared" si="0"/>
        <v/>
      </c>
      <c r="G29" s="228"/>
      <c r="H29" s="220"/>
      <c r="I29" s="221"/>
      <c r="J29" s="221"/>
      <c r="K29" s="221"/>
      <c r="L29" s="221"/>
      <c r="M29" s="221"/>
      <c r="N29" s="221"/>
      <c r="O29" s="196" t="str">
        <f t="shared" si="1"/>
        <v>nicht erfüllt</v>
      </c>
      <c r="P29" s="198">
        <f t="shared" si="2"/>
        <v>0</v>
      </c>
      <c r="Q29" s="163"/>
      <c r="R29" s="163"/>
      <c r="S29" s="116"/>
      <c r="T29" s="116"/>
    </row>
    <row r="30" spans="3:20" ht="14.25" outlineLevel="1" thickBot="1" x14ac:dyDescent="0.25">
      <c r="C30" s="214"/>
      <c r="D30" s="228"/>
      <c r="E30" s="228"/>
      <c r="F30" s="195" t="str">
        <f t="shared" si="0"/>
        <v/>
      </c>
      <c r="G30" s="228"/>
      <c r="H30" s="220"/>
      <c r="I30" s="221"/>
      <c r="J30" s="221"/>
      <c r="K30" s="221"/>
      <c r="L30" s="221"/>
      <c r="M30" s="221"/>
      <c r="N30" s="221"/>
      <c r="O30" s="196" t="str">
        <f t="shared" si="1"/>
        <v>nicht erfüllt</v>
      </c>
      <c r="P30" s="198">
        <f t="shared" si="2"/>
        <v>0</v>
      </c>
      <c r="Q30" s="163"/>
      <c r="R30" s="163"/>
      <c r="S30" s="116"/>
      <c r="T30" s="116"/>
    </row>
    <row r="31" spans="3:20" ht="14.25" outlineLevel="1" thickBot="1" x14ac:dyDescent="0.25">
      <c r="C31" s="214"/>
      <c r="D31" s="228"/>
      <c r="E31" s="228"/>
      <c r="F31" s="195" t="str">
        <f t="shared" si="0"/>
        <v/>
      </c>
      <c r="G31" s="228"/>
      <c r="H31" s="220"/>
      <c r="I31" s="221"/>
      <c r="J31" s="221"/>
      <c r="K31" s="221"/>
      <c r="L31" s="221"/>
      <c r="M31" s="221"/>
      <c r="N31" s="221"/>
      <c r="O31" s="196" t="str">
        <f t="shared" si="1"/>
        <v>nicht erfüllt</v>
      </c>
      <c r="P31" s="198">
        <f t="shared" si="2"/>
        <v>0</v>
      </c>
      <c r="Q31" s="163"/>
      <c r="R31" s="163"/>
      <c r="S31" s="116"/>
      <c r="T31" s="116"/>
    </row>
    <row r="32" spans="3:20" ht="14.25" outlineLevel="1" thickBot="1" x14ac:dyDescent="0.25">
      <c r="C32" s="214"/>
      <c r="D32" s="228"/>
      <c r="E32" s="228"/>
      <c r="F32" s="195" t="str">
        <f t="shared" si="0"/>
        <v/>
      </c>
      <c r="G32" s="228"/>
      <c r="H32" s="220"/>
      <c r="I32" s="221"/>
      <c r="J32" s="221"/>
      <c r="K32" s="221"/>
      <c r="L32" s="221"/>
      <c r="M32" s="221"/>
      <c r="N32" s="221"/>
      <c r="O32" s="196" t="str">
        <f t="shared" si="1"/>
        <v>nicht erfüllt</v>
      </c>
      <c r="P32" s="198">
        <f t="shared" si="2"/>
        <v>0</v>
      </c>
      <c r="Q32" s="163"/>
      <c r="R32" s="163"/>
      <c r="S32" s="116"/>
      <c r="T32" s="116"/>
    </row>
    <row r="33" spans="2:20" ht="14.25" outlineLevel="1" thickBot="1" x14ac:dyDescent="0.25">
      <c r="C33" s="214"/>
      <c r="D33" s="228"/>
      <c r="E33" s="228"/>
      <c r="F33" s="195" t="str">
        <f t="shared" si="0"/>
        <v/>
      </c>
      <c r="G33" s="228"/>
      <c r="H33" s="220"/>
      <c r="I33" s="221"/>
      <c r="J33" s="221"/>
      <c r="K33" s="221"/>
      <c r="L33" s="221"/>
      <c r="M33" s="221"/>
      <c r="N33" s="221"/>
      <c r="O33" s="196" t="str">
        <f t="shared" si="1"/>
        <v>nicht erfüllt</v>
      </c>
      <c r="P33" s="198">
        <f t="shared" si="2"/>
        <v>0</v>
      </c>
      <c r="Q33" s="163"/>
      <c r="R33" s="163"/>
      <c r="S33" s="116"/>
      <c r="T33" s="116"/>
    </row>
    <row r="34" spans="2:20" ht="14.25" outlineLevel="1" thickBot="1" x14ac:dyDescent="0.25">
      <c r="C34" s="214"/>
      <c r="D34" s="228"/>
      <c r="E34" s="228"/>
      <c r="F34" s="195" t="str">
        <f t="shared" si="0"/>
        <v/>
      </c>
      <c r="G34" s="228"/>
      <c r="H34" s="220"/>
      <c r="I34" s="221"/>
      <c r="J34" s="221"/>
      <c r="K34" s="221"/>
      <c r="L34" s="221"/>
      <c r="M34" s="221"/>
      <c r="N34" s="221"/>
      <c r="O34" s="196" t="str">
        <f t="shared" si="1"/>
        <v>nicht erfüllt</v>
      </c>
      <c r="P34" s="198">
        <f t="shared" si="2"/>
        <v>0</v>
      </c>
      <c r="Q34" s="163"/>
      <c r="R34" s="163"/>
      <c r="S34" s="116"/>
      <c r="T34" s="116"/>
    </row>
    <row r="35" spans="2:20" ht="14.25" outlineLevel="1" thickBot="1" x14ac:dyDescent="0.25">
      <c r="C35" s="214"/>
      <c r="D35" s="228"/>
      <c r="E35" s="228"/>
      <c r="F35" s="195" t="str">
        <f t="shared" si="0"/>
        <v/>
      </c>
      <c r="G35" s="228"/>
      <c r="H35" s="220"/>
      <c r="I35" s="221"/>
      <c r="J35" s="221"/>
      <c r="K35" s="221"/>
      <c r="L35" s="221"/>
      <c r="M35" s="221"/>
      <c r="N35" s="221"/>
      <c r="O35" s="196" t="str">
        <f t="shared" si="1"/>
        <v>nicht erfüllt</v>
      </c>
      <c r="P35" s="198">
        <f t="shared" si="2"/>
        <v>0</v>
      </c>
      <c r="Q35" s="163"/>
      <c r="R35" s="163"/>
      <c r="S35" s="116"/>
      <c r="T35" s="116"/>
    </row>
    <row r="36" spans="2:20" ht="14.25" outlineLevel="1" thickBot="1" x14ac:dyDescent="0.25">
      <c r="C36" s="214"/>
      <c r="D36" s="228"/>
      <c r="E36" s="228"/>
      <c r="F36" s="195" t="str">
        <f t="shared" si="0"/>
        <v/>
      </c>
      <c r="G36" s="228"/>
      <c r="H36" s="220"/>
      <c r="I36" s="221"/>
      <c r="J36" s="221"/>
      <c r="K36" s="221"/>
      <c r="L36" s="221"/>
      <c r="M36" s="221"/>
      <c r="N36" s="221"/>
      <c r="O36" s="196" t="str">
        <f t="shared" si="1"/>
        <v>nicht erfüllt</v>
      </c>
      <c r="P36" s="198">
        <f t="shared" si="2"/>
        <v>0</v>
      </c>
      <c r="Q36" s="163"/>
      <c r="R36" s="163"/>
      <c r="S36" s="116"/>
      <c r="T36" s="116"/>
    </row>
    <row r="37" spans="2:20" ht="14.25" outlineLevel="1" thickBot="1" x14ac:dyDescent="0.25">
      <c r="C37" s="214"/>
      <c r="D37" s="228"/>
      <c r="E37" s="228"/>
      <c r="F37" s="195" t="str">
        <f t="shared" si="0"/>
        <v/>
      </c>
      <c r="G37" s="228"/>
      <c r="H37" s="220"/>
      <c r="I37" s="221"/>
      <c r="J37" s="221"/>
      <c r="K37" s="221"/>
      <c r="L37" s="221"/>
      <c r="M37" s="221"/>
      <c r="N37" s="221"/>
      <c r="O37" s="196" t="str">
        <f t="shared" si="1"/>
        <v>nicht erfüllt</v>
      </c>
      <c r="P37" s="198">
        <f t="shared" si="2"/>
        <v>0</v>
      </c>
      <c r="Q37" s="163"/>
      <c r="R37" s="163"/>
      <c r="S37" s="116"/>
      <c r="T37" s="116"/>
    </row>
    <row r="38" spans="2:20" ht="14.25" outlineLevel="1" thickBot="1" x14ac:dyDescent="0.25">
      <c r="C38" s="214"/>
      <c r="D38" s="228"/>
      <c r="E38" s="228"/>
      <c r="F38" s="195" t="str">
        <f t="shared" si="0"/>
        <v/>
      </c>
      <c r="G38" s="228"/>
      <c r="H38" s="220"/>
      <c r="I38" s="221"/>
      <c r="J38" s="221"/>
      <c r="K38" s="221"/>
      <c r="L38" s="221"/>
      <c r="M38" s="221"/>
      <c r="N38" s="221"/>
      <c r="O38" s="196" t="str">
        <f t="shared" si="1"/>
        <v>nicht erfüllt</v>
      </c>
      <c r="P38" s="198">
        <f t="shared" si="2"/>
        <v>0</v>
      </c>
      <c r="Q38" s="163"/>
      <c r="R38" s="163"/>
      <c r="S38" s="116"/>
      <c r="T38" s="116"/>
    </row>
    <row r="39" spans="2:20" ht="14.25" outlineLevel="1" thickBot="1" x14ac:dyDescent="0.25">
      <c r="C39" s="214"/>
      <c r="D39" s="228"/>
      <c r="E39" s="228"/>
      <c r="F39" s="195" t="str">
        <f t="shared" si="0"/>
        <v/>
      </c>
      <c r="G39" s="228"/>
      <c r="H39" s="220"/>
      <c r="I39" s="221"/>
      <c r="J39" s="221"/>
      <c r="K39" s="221"/>
      <c r="L39" s="221"/>
      <c r="M39" s="221"/>
      <c r="N39" s="221"/>
      <c r="O39" s="196" t="str">
        <f t="shared" si="1"/>
        <v>nicht erfüllt</v>
      </c>
      <c r="P39" s="198">
        <f t="shared" si="2"/>
        <v>0</v>
      </c>
      <c r="Q39" s="163"/>
      <c r="R39" s="163"/>
      <c r="S39" s="116"/>
      <c r="T39" s="116"/>
    </row>
    <row r="40" spans="2:20" ht="14.25" outlineLevel="1" thickBot="1" x14ac:dyDescent="0.25">
      <c r="C40" s="214"/>
      <c r="D40" s="228"/>
      <c r="E40" s="228"/>
      <c r="F40" s="195" t="str">
        <f t="shared" si="0"/>
        <v/>
      </c>
      <c r="G40" s="228"/>
      <c r="H40" s="220"/>
      <c r="I40" s="221"/>
      <c r="J40" s="221"/>
      <c r="K40" s="221"/>
      <c r="L40" s="221"/>
      <c r="M40" s="221"/>
      <c r="N40" s="221"/>
      <c r="O40" s="196" t="str">
        <f t="shared" si="1"/>
        <v>nicht erfüllt</v>
      </c>
      <c r="P40" s="198">
        <f t="shared" si="2"/>
        <v>0</v>
      </c>
      <c r="Q40" s="163"/>
      <c r="R40" s="163"/>
      <c r="S40" s="116"/>
      <c r="T40" s="116"/>
    </row>
    <row r="41" spans="2:20" ht="14.25" outlineLevel="1" thickBot="1" x14ac:dyDescent="0.25">
      <c r="C41" s="214"/>
      <c r="D41" s="228"/>
      <c r="E41" s="228"/>
      <c r="F41" s="195" t="str">
        <f t="shared" si="0"/>
        <v/>
      </c>
      <c r="G41" s="228"/>
      <c r="H41" s="220"/>
      <c r="I41" s="221"/>
      <c r="J41" s="221"/>
      <c r="K41" s="221"/>
      <c r="L41" s="221"/>
      <c r="M41" s="221"/>
      <c r="N41" s="221"/>
      <c r="O41" s="196" t="str">
        <f t="shared" si="1"/>
        <v>nicht erfüllt</v>
      </c>
      <c r="P41" s="198">
        <f t="shared" si="2"/>
        <v>0</v>
      </c>
      <c r="Q41" s="163"/>
      <c r="R41" s="163"/>
      <c r="S41" s="116"/>
      <c r="T41" s="116"/>
    </row>
    <row r="42" spans="2:20" ht="14.25" outlineLevel="1" thickBot="1" x14ac:dyDescent="0.25">
      <c r="C42" s="214"/>
      <c r="D42" s="228"/>
      <c r="E42" s="228"/>
      <c r="F42" s="195" t="str">
        <f t="shared" si="0"/>
        <v/>
      </c>
      <c r="G42" s="228"/>
      <c r="H42" s="220"/>
      <c r="I42" s="221"/>
      <c r="J42" s="221"/>
      <c r="K42" s="221"/>
      <c r="L42" s="221"/>
      <c r="M42" s="221"/>
      <c r="N42" s="221"/>
      <c r="O42" s="196" t="str">
        <f t="shared" si="1"/>
        <v>nicht erfüllt</v>
      </c>
      <c r="P42" s="198">
        <f t="shared" si="2"/>
        <v>0</v>
      </c>
      <c r="Q42" s="163"/>
      <c r="R42" s="163"/>
      <c r="S42" s="116"/>
      <c r="T42" s="116"/>
    </row>
    <row r="43" spans="2:20" ht="14.25" outlineLevel="1" thickBot="1" x14ac:dyDescent="0.25">
      <c r="C43" s="214"/>
      <c r="D43" s="228"/>
      <c r="E43" s="228"/>
      <c r="F43" s="195" t="str">
        <f t="shared" si="0"/>
        <v/>
      </c>
      <c r="G43" s="228"/>
      <c r="H43" s="220"/>
      <c r="I43" s="221"/>
      <c r="J43" s="221"/>
      <c r="K43" s="221"/>
      <c r="L43" s="221"/>
      <c r="M43" s="221"/>
      <c r="N43" s="221"/>
      <c r="O43" s="196" t="str">
        <f t="shared" si="1"/>
        <v>nicht erfüllt</v>
      </c>
      <c r="P43" s="198">
        <f t="shared" si="2"/>
        <v>0</v>
      </c>
      <c r="Q43" s="163"/>
      <c r="R43" s="163"/>
      <c r="S43" s="116"/>
      <c r="T43" s="116"/>
    </row>
    <row r="44" spans="2:20" ht="14.25" outlineLevel="1" thickBot="1" x14ac:dyDescent="0.25">
      <c r="C44" s="214"/>
      <c r="D44" s="228"/>
      <c r="E44" s="228"/>
      <c r="F44" s="195" t="str">
        <f t="shared" si="0"/>
        <v/>
      </c>
      <c r="G44" s="228"/>
      <c r="H44" s="220"/>
      <c r="I44" s="221"/>
      <c r="J44" s="221"/>
      <c r="K44" s="221"/>
      <c r="L44" s="221"/>
      <c r="M44" s="221"/>
      <c r="N44" s="221"/>
      <c r="O44" s="196" t="str">
        <f t="shared" si="1"/>
        <v>nicht erfüllt</v>
      </c>
      <c r="P44" s="198">
        <f t="shared" si="2"/>
        <v>0</v>
      </c>
      <c r="Q44" s="163"/>
      <c r="R44" s="163"/>
      <c r="S44" s="116"/>
      <c r="T44" s="116"/>
    </row>
    <row r="45" spans="2:20" ht="14.25" outlineLevel="1" thickBot="1" x14ac:dyDescent="0.25">
      <c r="B45" s="116"/>
      <c r="C45" s="214"/>
      <c r="D45" s="228"/>
      <c r="E45" s="228"/>
      <c r="F45" s="195" t="str">
        <f t="shared" si="0"/>
        <v/>
      </c>
      <c r="G45" s="228"/>
      <c r="H45" s="220"/>
      <c r="I45" s="221"/>
      <c r="J45" s="221"/>
      <c r="K45" s="221"/>
      <c r="L45" s="221"/>
      <c r="M45" s="221"/>
      <c r="N45" s="221"/>
      <c r="O45" s="196" t="str">
        <f t="shared" si="1"/>
        <v>nicht erfüllt</v>
      </c>
      <c r="P45" s="198">
        <f t="shared" si="2"/>
        <v>0</v>
      </c>
      <c r="Q45" s="163"/>
      <c r="R45" s="163"/>
      <c r="S45" s="116"/>
      <c r="T45" s="116"/>
    </row>
    <row r="46" spans="2:20" ht="14.25" outlineLevel="1" thickBot="1" x14ac:dyDescent="0.25">
      <c r="C46" s="214"/>
      <c r="D46" s="228"/>
      <c r="E46" s="228"/>
      <c r="F46" s="195" t="str">
        <f t="shared" si="0"/>
        <v/>
      </c>
      <c r="G46" s="228"/>
      <c r="H46" s="220"/>
      <c r="I46" s="221"/>
      <c r="J46" s="221"/>
      <c r="K46" s="221"/>
      <c r="L46" s="221"/>
      <c r="M46" s="221"/>
      <c r="N46" s="221"/>
      <c r="O46" s="196" t="str">
        <f t="shared" si="1"/>
        <v>nicht erfüllt</v>
      </c>
      <c r="P46" s="198">
        <f t="shared" si="2"/>
        <v>0</v>
      </c>
      <c r="Q46" s="163"/>
      <c r="R46" s="163"/>
      <c r="S46" s="116"/>
      <c r="T46" s="116"/>
    </row>
    <row r="47" spans="2:20" ht="14.25" outlineLevel="1" thickBot="1" x14ac:dyDescent="0.25">
      <c r="B47" s="116"/>
      <c r="C47" s="214"/>
      <c r="D47" s="228"/>
      <c r="E47" s="228"/>
      <c r="F47" s="195" t="str">
        <f t="shared" si="0"/>
        <v/>
      </c>
      <c r="G47" s="228"/>
      <c r="H47" s="220"/>
      <c r="I47" s="221"/>
      <c r="J47" s="221"/>
      <c r="K47" s="221"/>
      <c r="L47" s="221"/>
      <c r="M47" s="221"/>
      <c r="N47" s="221"/>
      <c r="O47" s="196" t="str">
        <f t="shared" si="1"/>
        <v>nicht erfüllt</v>
      </c>
      <c r="P47" s="198">
        <f t="shared" si="2"/>
        <v>0</v>
      </c>
      <c r="Q47" s="163"/>
      <c r="R47" s="163"/>
      <c r="S47" s="116"/>
      <c r="T47" s="116"/>
    </row>
    <row r="48" spans="2:20" ht="14.25" outlineLevel="1" thickBot="1" x14ac:dyDescent="0.25">
      <c r="C48" s="214"/>
      <c r="D48" s="228"/>
      <c r="E48" s="228"/>
      <c r="F48" s="195" t="str">
        <f t="shared" si="0"/>
        <v/>
      </c>
      <c r="G48" s="228"/>
      <c r="H48" s="220"/>
      <c r="I48" s="221"/>
      <c r="J48" s="221"/>
      <c r="K48" s="221"/>
      <c r="L48" s="221"/>
      <c r="M48" s="221"/>
      <c r="N48" s="221"/>
      <c r="O48" s="196" t="str">
        <f t="shared" si="1"/>
        <v>nicht erfüllt</v>
      </c>
      <c r="P48" s="198">
        <f t="shared" si="2"/>
        <v>0</v>
      </c>
      <c r="Q48" s="163"/>
      <c r="R48" s="163"/>
      <c r="S48" s="116"/>
      <c r="T48" s="116"/>
    </row>
    <row r="49" spans="2:20" ht="14.25" outlineLevel="1" thickBot="1" x14ac:dyDescent="0.25">
      <c r="C49" s="214"/>
      <c r="D49" s="228"/>
      <c r="E49" s="228"/>
      <c r="F49" s="195" t="str">
        <f t="shared" si="0"/>
        <v/>
      </c>
      <c r="G49" s="228"/>
      <c r="H49" s="220"/>
      <c r="I49" s="221"/>
      <c r="J49" s="221"/>
      <c r="K49" s="221"/>
      <c r="L49" s="221"/>
      <c r="M49" s="221"/>
      <c r="N49" s="221"/>
      <c r="O49" s="196" t="str">
        <f t="shared" si="1"/>
        <v>nicht erfüllt</v>
      </c>
      <c r="P49" s="198">
        <f t="shared" si="2"/>
        <v>0</v>
      </c>
      <c r="Q49" s="163"/>
      <c r="R49" s="163"/>
      <c r="S49" s="116"/>
      <c r="T49" s="116"/>
    </row>
    <row r="50" spans="2:20" ht="14.25" outlineLevel="1" thickBot="1" x14ac:dyDescent="0.25">
      <c r="C50" s="214"/>
      <c r="D50" s="228"/>
      <c r="E50" s="228"/>
      <c r="F50" s="195" t="str">
        <f t="shared" si="0"/>
        <v/>
      </c>
      <c r="G50" s="228"/>
      <c r="H50" s="220"/>
      <c r="I50" s="221"/>
      <c r="J50" s="221"/>
      <c r="K50" s="221"/>
      <c r="L50" s="221"/>
      <c r="M50" s="221"/>
      <c r="N50" s="221"/>
      <c r="O50" s="196" t="str">
        <f t="shared" si="1"/>
        <v>nicht erfüllt</v>
      </c>
      <c r="P50" s="198">
        <f t="shared" si="2"/>
        <v>0</v>
      </c>
      <c r="Q50" s="163"/>
      <c r="R50" s="163"/>
      <c r="S50" s="116"/>
      <c r="T50" s="116"/>
    </row>
    <row r="51" spans="2:20" ht="14.25" outlineLevel="1" thickBot="1" x14ac:dyDescent="0.25">
      <c r="B51" s="116"/>
      <c r="C51" s="214"/>
      <c r="D51" s="228"/>
      <c r="E51" s="228"/>
      <c r="F51" s="195" t="str">
        <f t="shared" si="0"/>
        <v/>
      </c>
      <c r="G51" s="228"/>
      <c r="H51" s="220"/>
      <c r="I51" s="221"/>
      <c r="J51" s="221"/>
      <c r="K51" s="221"/>
      <c r="L51" s="221"/>
      <c r="M51" s="221"/>
      <c r="N51" s="221"/>
      <c r="O51" s="196" t="str">
        <f t="shared" si="1"/>
        <v>nicht erfüllt</v>
      </c>
      <c r="P51" s="198">
        <f t="shared" si="2"/>
        <v>0</v>
      </c>
      <c r="Q51" s="163"/>
      <c r="R51" s="163"/>
      <c r="S51" s="116"/>
      <c r="T51" s="116"/>
    </row>
    <row r="52" spans="2:20" ht="14.25" outlineLevel="1" thickBot="1" x14ac:dyDescent="0.25">
      <c r="C52" s="214"/>
      <c r="D52" s="228"/>
      <c r="E52" s="228"/>
      <c r="F52" s="195" t="str">
        <f t="shared" si="0"/>
        <v/>
      </c>
      <c r="G52" s="228"/>
      <c r="H52" s="220"/>
      <c r="I52" s="221"/>
      <c r="J52" s="221"/>
      <c r="K52" s="221"/>
      <c r="L52" s="221"/>
      <c r="M52" s="221"/>
      <c r="N52" s="221"/>
      <c r="O52" s="196" t="str">
        <f t="shared" si="1"/>
        <v>nicht erfüllt</v>
      </c>
      <c r="P52" s="198">
        <f t="shared" si="2"/>
        <v>0</v>
      </c>
      <c r="Q52" s="163"/>
      <c r="R52" s="163"/>
      <c r="S52" s="116"/>
      <c r="T52" s="116"/>
    </row>
    <row r="53" spans="2:20" ht="14.25" outlineLevel="1" thickBot="1" x14ac:dyDescent="0.25">
      <c r="B53" s="116"/>
      <c r="C53" s="214"/>
      <c r="D53" s="228"/>
      <c r="E53" s="228"/>
      <c r="F53" s="195" t="str">
        <f t="shared" si="0"/>
        <v/>
      </c>
      <c r="G53" s="228"/>
      <c r="H53" s="220"/>
      <c r="I53" s="221"/>
      <c r="J53" s="221"/>
      <c r="K53" s="221"/>
      <c r="L53" s="221"/>
      <c r="M53" s="221"/>
      <c r="N53" s="221"/>
      <c r="O53" s="196" t="str">
        <f t="shared" si="1"/>
        <v>nicht erfüllt</v>
      </c>
      <c r="P53" s="198">
        <f t="shared" si="2"/>
        <v>0</v>
      </c>
      <c r="Q53" s="163"/>
      <c r="R53" s="167"/>
      <c r="S53" s="116"/>
      <c r="T53" s="116"/>
    </row>
    <row r="54" spans="2:20" ht="16.5" outlineLevel="1" thickBot="1" x14ac:dyDescent="0.3">
      <c r="B54" s="168"/>
      <c r="C54" s="214"/>
      <c r="D54" s="228"/>
      <c r="E54" s="228"/>
      <c r="F54" s="195" t="str">
        <f t="shared" si="0"/>
        <v/>
      </c>
      <c r="G54" s="228"/>
      <c r="H54" s="220"/>
      <c r="I54" s="221"/>
      <c r="J54" s="221"/>
      <c r="K54" s="221"/>
      <c r="L54" s="221"/>
      <c r="M54" s="221"/>
      <c r="N54" s="221"/>
      <c r="O54" s="196" t="str">
        <f t="shared" si="1"/>
        <v>nicht erfüllt</v>
      </c>
      <c r="P54" s="198">
        <f t="shared" si="2"/>
        <v>0</v>
      </c>
      <c r="Q54" s="163"/>
      <c r="R54" s="167"/>
      <c r="S54" s="116"/>
      <c r="T54" s="116"/>
    </row>
    <row r="55" spans="2:20" ht="14.25" outlineLevel="1" thickBot="1" x14ac:dyDescent="0.25">
      <c r="B55" s="116"/>
      <c r="C55" s="214"/>
      <c r="D55" s="228"/>
      <c r="E55" s="228"/>
      <c r="F55" s="195" t="str">
        <f t="shared" si="0"/>
        <v/>
      </c>
      <c r="G55" s="228"/>
      <c r="H55" s="220"/>
      <c r="I55" s="221"/>
      <c r="J55" s="221"/>
      <c r="K55" s="221"/>
      <c r="L55" s="221"/>
      <c r="M55" s="221"/>
      <c r="N55" s="221"/>
      <c r="O55" s="196" t="str">
        <f t="shared" si="1"/>
        <v>nicht erfüllt</v>
      </c>
      <c r="P55" s="198">
        <f t="shared" si="2"/>
        <v>0</v>
      </c>
      <c r="Q55" s="163"/>
      <c r="R55" s="167"/>
      <c r="S55" s="116"/>
      <c r="T55" s="116"/>
    </row>
    <row r="56" spans="2:20" ht="14.25" outlineLevel="1" thickBot="1" x14ac:dyDescent="0.25">
      <c r="C56" s="214"/>
      <c r="D56" s="228"/>
      <c r="E56" s="228"/>
      <c r="F56" s="195" t="str">
        <f t="shared" si="0"/>
        <v/>
      </c>
      <c r="G56" s="228"/>
      <c r="H56" s="220"/>
      <c r="I56" s="221"/>
      <c r="J56" s="221"/>
      <c r="K56" s="221"/>
      <c r="L56" s="221"/>
      <c r="M56" s="221"/>
      <c r="N56" s="221"/>
      <c r="O56" s="196" t="str">
        <f t="shared" si="1"/>
        <v>nicht erfüllt</v>
      </c>
      <c r="P56" s="198">
        <f t="shared" si="2"/>
        <v>0</v>
      </c>
      <c r="Q56" s="163"/>
      <c r="R56" s="167"/>
      <c r="S56" s="116"/>
      <c r="T56" s="116"/>
    </row>
    <row r="57" spans="2:20" ht="14.25" outlineLevel="1" thickBot="1" x14ac:dyDescent="0.25">
      <c r="C57" s="214"/>
      <c r="D57" s="228"/>
      <c r="E57" s="228"/>
      <c r="F57" s="195" t="str">
        <f t="shared" si="0"/>
        <v/>
      </c>
      <c r="G57" s="228"/>
      <c r="H57" s="220"/>
      <c r="I57" s="221"/>
      <c r="J57" s="221"/>
      <c r="K57" s="221"/>
      <c r="L57" s="221"/>
      <c r="M57" s="221"/>
      <c r="N57" s="221"/>
      <c r="O57" s="196" t="str">
        <f t="shared" si="1"/>
        <v>nicht erfüllt</v>
      </c>
      <c r="P57" s="198">
        <f t="shared" si="2"/>
        <v>0</v>
      </c>
      <c r="Q57" s="163"/>
      <c r="R57" s="167"/>
      <c r="S57" s="116"/>
      <c r="T57" s="116"/>
    </row>
    <row r="58" spans="2:20" ht="14.25" outlineLevel="1" thickBot="1" x14ac:dyDescent="0.25">
      <c r="C58" s="214"/>
      <c r="D58" s="228"/>
      <c r="E58" s="228"/>
      <c r="F58" s="195" t="str">
        <f t="shared" si="0"/>
        <v/>
      </c>
      <c r="G58" s="228"/>
      <c r="H58" s="220"/>
      <c r="I58" s="221"/>
      <c r="J58" s="221"/>
      <c r="K58" s="221"/>
      <c r="L58" s="221"/>
      <c r="M58" s="221"/>
      <c r="N58" s="221"/>
      <c r="O58" s="196" t="str">
        <f t="shared" si="1"/>
        <v>nicht erfüllt</v>
      </c>
      <c r="P58" s="198">
        <f t="shared" si="2"/>
        <v>0</v>
      </c>
      <c r="Q58" s="163"/>
      <c r="R58" s="167"/>
      <c r="S58" s="116"/>
      <c r="T58" s="116"/>
    </row>
    <row r="59" spans="2:20" ht="14.25" outlineLevel="1" thickBot="1" x14ac:dyDescent="0.25">
      <c r="C59" s="214"/>
      <c r="D59" s="228"/>
      <c r="E59" s="228"/>
      <c r="F59" s="195" t="str">
        <f t="shared" si="0"/>
        <v/>
      </c>
      <c r="G59" s="228"/>
      <c r="H59" s="220"/>
      <c r="I59" s="221"/>
      <c r="J59" s="221"/>
      <c r="K59" s="221"/>
      <c r="L59" s="221"/>
      <c r="M59" s="221"/>
      <c r="N59" s="221"/>
      <c r="O59" s="196" t="str">
        <f t="shared" si="1"/>
        <v>nicht erfüllt</v>
      </c>
      <c r="P59" s="198">
        <f t="shared" si="2"/>
        <v>0</v>
      </c>
      <c r="Q59" s="163"/>
      <c r="R59" s="167"/>
      <c r="S59" s="116"/>
      <c r="T59" s="116"/>
    </row>
    <row r="60" spans="2:20" ht="14.25" outlineLevel="1" thickBot="1" x14ac:dyDescent="0.25">
      <c r="C60" s="214"/>
      <c r="D60" s="228"/>
      <c r="E60" s="228"/>
      <c r="F60" s="195" t="str">
        <f t="shared" si="0"/>
        <v/>
      </c>
      <c r="G60" s="228"/>
      <c r="H60" s="220"/>
      <c r="I60" s="221"/>
      <c r="J60" s="221"/>
      <c r="K60" s="221"/>
      <c r="L60" s="221"/>
      <c r="M60" s="221"/>
      <c r="N60" s="221"/>
      <c r="O60" s="196" t="str">
        <f t="shared" si="1"/>
        <v>nicht erfüllt</v>
      </c>
      <c r="P60" s="198">
        <f t="shared" si="2"/>
        <v>0</v>
      </c>
      <c r="Q60" s="163"/>
      <c r="R60" s="167"/>
      <c r="S60" s="116"/>
      <c r="T60" s="116"/>
    </row>
    <row r="61" spans="2:20" ht="14.25" outlineLevel="1" thickBot="1" x14ac:dyDescent="0.25">
      <c r="C61" s="214"/>
      <c r="D61" s="228"/>
      <c r="E61" s="228"/>
      <c r="F61" s="195" t="str">
        <f t="shared" si="0"/>
        <v/>
      </c>
      <c r="G61" s="228"/>
      <c r="H61" s="220"/>
      <c r="I61" s="221"/>
      <c r="J61" s="221"/>
      <c r="K61" s="221"/>
      <c r="L61" s="221"/>
      <c r="M61" s="221"/>
      <c r="N61" s="221"/>
      <c r="O61" s="196" t="str">
        <f t="shared" si="1"/>
        <v>nicht erfüllt</v>
      </c>
      <c r="P61" s="198">
        <f t="shared" si="2"/>
        <v>0</v>
      </c>
      <c r="Q61" s="163"/>
      <c r="R61" s="167"/>
      <c r="S61" s="116"/>
      <c r="T61" s="116"/>
    </row>
    <row r="62" spans="2:20" ht="14.25" outlineLevel="1" thickBot="1" x14ac:dyDescent="0.25">
      <c r="C62" s="214"/>
      <c r="D62" s="228"/>
      <c r="E62" s="228"/>
      <c r="F62" s="195" t="str">
        <f t="shared" si="0"/>
        <v/>
      </c>
      <c r="G62" s="228"/>
      <c r="H62" s="220"/>
      <c r="I62" s="221"/>
      <c r="J62" s="221"/>
      <c r="K62" s="221"/>
      <c r="L62" s="221"/>
      <c r="M62" s="221"/>
      <c r="N62" s="221"/>
      <c r="O62" s="196" t="str">
        <f t="shared" si="1"/>
        <v>nicht erfüllt</v>
      </c>
      <c r="P62" s="198">
        <f t="shared" si="2"/>
        <v>0</v>
      </c>
      <c r="Q62" s="163"/>
      <c r="R62" s="167"/>
      <c r="S62" s="116"/>
      <c r="T62" s="116"/>
    </row>
    <row r="63" spans="2:20" ht="14.25" outlineLevel="1" thickBot="1" x14ac:dyDescent="0.25">
      <c r="C63" s="214"/>
      <c r="D63" s="228"/>
      <c r="E63" s="228"/>
      <c r="F63" s="195" t="str">
        <f t="shared" si="0"/>
        <v/>
      </c>
      <c r="G63" s="228"/>
      <c r="H63" s="220"/>
      <c r="I63" s="221"/>
      <c r="J63" s="221"/>
      <c r="K63" s="221"/>
      <c r="L63" s="221"/>
      <c r="M63" s="221"/>
      <c r="N63" s="221"/>
      <c r="O63" s="196" t="str">
        <f t="shared" si="1"/>
        <v>nicht erfüllt</v>
      </c>
      <c r="P63" s="198">
        <f t="shared" si="2"/>
        <v>0</v>
      </c>
      <c r="Q63" s="163"/>
      <c r="R63" s="167"/>
      <c r="S63" s="116"/>
      <c r="T63" s="116"/>
    </row>
    <row r="64" spans="2:20" ht="14.25" outlineLevel="1" thickBot="1" x14ac:dyDescent="0.25">
      <c r="C64" s="214"/>
      <c r="D64" s="228"/>
      <c r="E64" s="228"/>
      <c r="F64" s="195" t="str">
        <f t="shared" si="0"/>
        <v/>
      </c>
      <c r="G64" s="228"/>
      <c r="H64" s="220"/>
      <c r="I64" s="221"/>
      <c r="J64" s="221"/>
      <c r="K64" s="221"/>
      <c r="L64" s="221"/>
      <c r="M64" s="221"/>
      <c r="N64" s="221"/>
      <c r="O64" s="196" t="str">
        <f t="shared" si="1"/>
        <v>nicht erfüllt</v>
      </c>
      <c r="P64" s="198">
        <f t="shared" si="2"/>
        <v>0</v>
      </c>
      <c r="Q64" s="163"/>
      <c r="R64" s="167"/>
      <c r="S64" s="116"/>
      <c r="T64" s="116"/>
    </row>
    <row r="65" spans="2:20" ht="14.25" outlineLevel="1" thickBot="1" x14ac:dyDescent="0.25">
      <c r="C65" s="214"/>
      <c r="D65" s="228"/>
      <c r="E65" s="228"/>
      <c r="F65" s="195" t="str">
        <f t="shared" si="0"/>
        <v/>
      </c>
      <c r="G65" s="228"/>
      <c r="H65" s="220"/>
      <c r="I65" s="221"/>
      <c r="J65" s="221"/>
      <c r="K65" s="221"/>
      <c r="L65" s="221"/>
      <c r="M65" s="221"/>
      <c r="N65" s="221"/>
      <c r="O65" s="196" t="str">
        <f t="shared" si="1"/>
        <v>nicht erfüllt</v>
      </c>
      <c r="P65" s="198">
        <f t="shared" si="2"/>
        <v>0</v>
      </c>
      <c r="Q65" s="163"/>
      <c r="R65" s="167"/>
      <c r="S65" s="116"/>
      <c r="T65" s="116"/>
    </row>
    <row r="66" spans="2:20" ht="14.25" outlineLevel="1" thickBot="1" x14ac:dyDescent="0.25">
      <c r="C66" s="214"/>
      <c r="D66" s="228"/>
      <c r="E66" s="228"/>
      <c r="F66" s="195" t="str">
        <f t="shared" si="0"/>
        <v/>
      </c>
      <c r="G66" s="228"/>
      <c r="H66" s="220"/>
      <c r="I66" s="221"/>
      <c r="J66" s="221"/>
      <c r="K66" s="221"/>
      <c r="L66" s="221"/>
      <c r="M66" s="221"/>
      <c r="N66" s="221"/>
      <c r="O66" s="196" t="str">
        <f t="shared" si="1"/>
        <v>nicht erfüllt</v>
      </c>
      <c r="P66" s="198">
        <f t="shared" si="2"/>
        <v>0</v>
      </c>
      <c r="Q66" s="163"/>
      <c r="R66" s="167"/>
      <c r="S66" s="116"/>
      <c r="T66" s="116"/>
    </row>
    <row r="67" spans="2:20" ht="14.25" outlineLevel="1" thickBot="1" x14ac:dyDescent="0.25">
      <c r="C67" s="214"/>
      <c r="D67" s="228"/>
      <c r="E67" s="228"/>
      <c r="F67" s="195" t="str">
        <f t="shared" si="0"/>
        <v/>
      </c>
      <c r="G67" s="228"/>
      <c r="H67" s="220"/>
      <c r="I67" s="221"/>
      <c r="J67" s="221"/>
      <c r="K67" s="221"/>
      <c r="L67" s="221"/>
      <c r="M67" s="221"/>
      <c r="N67" s="221"/>
      <c r="O67" s="196" t="str">
        <f t="shared" si="1"/>
        <v>nicht erfüllt</v>
      </c>
      <c r="P67" s="198">
        <f t="shared" si="2"/>
        <v>0</v>
      </c>
      <c r="Q67" s="400" t="s">
        <v>137</v>
      </c>
      <c r="R67" s="167"/>
      <c r="S67" s="116"/>
      <c r="T67" s="116"/>
    </row>
    <row r="68" spans="2:20" ht="14.25" outlineLevel="1" thickBot="1" x14ac:dyDescent="0.25">
      <c r="C68" s="214"/>
      <c r="D68" s="228"/>
      <c r="E68" s="228"/>
      <c r="F68" s="195" t="str">
        <f t="shared" si="0"/>
        <v/>
      </c>
      <c r="G68" s="228"/>
      <c r="H68" s="220"/>
      <c r="I68" s="221"/>
      <c r="J68" s="221"/>
      <c r="K68" s="221"/>
      <c r="L68" s="221"/>
      <c r="M68" s="221"/>
      <c r="N68" s="221"/>
      <c r="O68" s="196" t="str">
        <f t="shared" si="1"/>
        <v>nicht erfüllt</v>
      </c>
      <c r="P68" s="198">
        <f t="shared" si="2"/>
        <v>0</v>
      </c>
      <c r="Q68" s="401"/>
      <c r="R68" s="167"/>
      <c r="S68" s="116"/>
      <c r="T68" s="116"/>
    </row>
    <row r="69" spans="2:20" ht="14.25" outlineLevel="1" thickBot="1" x14ac:dyDescent="0.25">
      <c r="C69" s="214"/>
      <c r="D69" s="228"/>
      <c r="E69" s="228"/>
      <c r="F69" s="195" t="str">
        <f t="shared" si="0"/>
        <v/>
      </c>
      <c r="G69" s="228"/>
      <c r="H69" s="220"/>
      <c r="I69" s="221"/>
      <c r="J69" s="221"/>
      <c r="K69" s="221"/>
      <c r="L69" s="221"/>
      <c r="M69" s="221"/>
      <c r="N69" s="221"/>
      <c r="O69" s="196" t="str">
        <f t="shared" si="1"/>
        <v>nicht erfüllt</v>
      </c>
      <c r="P69" s="198">
        <f t="shared" si="2"/>
        <v>0</v>
      </c>
      <c r="Q69" s="401"/>
      <c r="R69" s="167"/>
      <c r="S69" s="116"/>
      <c r="T69" s="116"/>
    </row>
    <row r="70" spans="2:20" ht="14.25" outlineLevel="1" thickBot="1" x14ac:dyDescent="0.25">
      <c r="C70" s="214"/>
      <c r="D70" s="228"/>
      <c r="E70" s="228"/>
      <c r="F70" s="195" t="str">
        <f t="shared" si="0"/>
        <v/>
      </c>
      <c r="G70" s="228"/>
      <c r="H70" s="220"/>
      <c r="I70" s="221"/>
      <c r="J70" s="221"/>
      <c r="K70" s="221"/>
      <c r="L70" s="221"/>
      <c r="M70" s="221"/>
      <c r="N70" s="221"/>
      <c r="O70" s="196" t="str">
        <f t="shared" si="1"/>
        <v>nicht erfüllt</v>
      </c>
      <c r="P70" s="198">
        <f t="shared" si="2"/>
        <v>0</v>
      </c>
      <c r="Q70" s="401"/>
      <c r="R70" s="167"/>
      <c r="S70" s="116"/>
      <c r="T70" s="116"/>
    </row>
    <row r="71" spans="2:20" ht="14.25" outlineLevel="1" thickBot="1" x14ac:dyDescent="0.25">
      <c r="C71" s="214"/>
      <c r="D71" s="228"/>
      <c r="E71" s="228"/>
      <c r="F71" s="195" t="str">
        <f t="shared" si="0"/>
        <v/>
      </c>
      <c r="G71" s="228"/>
      <c r="H71" s="220"/>
      <c r="I71" s="221"/>
      <c r="J71" s="221"/>
      <c r="K71" s="221"/>
      <c r="L71" s="221"/>
      <c r="M71" s="221"/>
      <c r="N71" s="221"/>
      <c r="O71" s="196" t="str">
        <f t="shared" si="1"/>
        <v>nicht erfüllt</v>
      </c>
      <c r="P71" s="198">
        <f t="shared" si="2"/>
        <v>0</v>
      </c>
      <c r="Q71" s="401"/>
      <c r="R71" s="167"/>
      <c r="S71" s="116"/>
      <c r="T71" s="116"/>
    </row>
    <row r="72" spans="2:20" ht="14.25" outlineLevel="1" thickBot="1" x14ac:dyDescent="0.25">
      <c r="C72" s="214"/>
      <c r="D72" s="228"/>
      <c r="E72" s="228"/>
      <c r="F72" s="195" t="str">
        <f t="shared" si="0"/>
        <v/>
      </c>
      <c r="G72" s="228"/>
      <c r="H72" s="220"/>
      <c r="I72" s="221"/>
      <c r="J72" s="221"/>
      <c r="K72" s="221"/>
      <c r="L72" s="221"/>
      <c r="M72" s="221"/>
      <c r="N72" s="221"/>
      <c r="O72" s="196" t="str">
        <f t="shared" si="1"/>
        <v>nicht erfüllt</v>
      </c>
      <c r="P72" s="198">
        <f t="shared" si="2"/>
        <v>0</v>
      </c>
      <c r="Q72" s="401"/>
      <c r="R72" s="167"/>
      <c r="S72" s="116"/>
      <c r="T72" s="116"/>
    </row>
    <row r="73" spans="2:20" ht="14.25" outlineLevel="1" thickBot="1" x14ac:dyDescent="0.25">
      <c r="C73" s="214"/>
      <c r="D73" s="228"/>
      <c r="E73" s="228"/>
      <c r="F73" s="195" t="str">
        <f t="shared" si="0"/>
        <v/>
      </c>
      <c r="G73" s="228"/>
      <c r="H73" s="220"/>
      <c r="I73" s="221"/>
      <c r="J73" s="221"/>
      <c r="K73" s="221"/>
      <c r="L73" s="221"/>
      <c r="M73" s="221"/>
      <c r="N73" s="221"/>
      <c r="O73" s="196" t="str">
        <f t="shared" si="1"/>
        <v>nicht erfüllt</v>
      </c>
      <c r="P73" s="198">
        <f t="shared" si="2"/>
        <v>0</v>
      </c>
      <c r="Q73" s="401"/>
      <c r="R73" s="167"/>
      <c r="S73" s="116"/>
      <c r="T73" s="116"/>
    </row>
    <row r="74" spans="2:20" ht="14.25" outlineLevel="1" thickBot="1" x14ac:dyDescent="0.25">
      <c r="C74" s="214"/>
      <c r="D74" s="228"/>
      <c r="E74" s="228"/>
      <c r="F74" s="195" t="str">
        <f t="shared" ref="F74:F76" si="3">IFERROR(IF(E74="","",E74/$E$5),"")</f>
        <v/>
      </c>
      <c r="G74" s="228"/>
      <c r="H74" s="220"/>
      <c r="I74" s="221"/>
      <c r="J74" s="221"/>
      <c r="K74" s="221"/>
      <c r="L74" s="221"/>
      <c r="M74" s="221"/>
      <c r="N74" s="221"/>
      <c r="O74" s="196" t="str">
        <f t="shared" ref="O74:O76" si="4">IF(AND(COUNTIF(H74:N74,"a")&gt;=1,G74="Ja"),"erfüllt","nicht erfüllt")</f>
        <v>nicht erfüllt</v>
      </c>
      <c r="P74" s="198">
        <f t="shared" ref="P74:P76" si="5">IFERROR(IF(O74="erfüllt",F74,0),"")</f>
        <v>0</v>
      </c>
      <c r="Q74" s="401"/>
      <c r="R74" s="167"/>
      <c r="S74" s="116"/>
      <c r="T74" s="116"/>
    </row>
    <row r="75" spans="2:20" ht="14.25" outlineLevel="1" thickBot="1" x14ac:dyDescent="0.25">
      <c r="B75" s="116"/>
      <c r="C75" s="214"/>
      <c r="D75" s="228"/>
      <c r="E75" s="228"/>
      <c r="F75" s="195" t="str">
        <f t="shared" si="3"/>
        <v/>
      </c>
      <c r="G75" s="228"/>
      <c r="H75" s="220"/>
      <c r="I75" s="221"/>
      <c r="J75" s="221"/>
      <c r="K75" s="221"/>
      <c r="L75" s="221"/>
      <c r="M75" s="221"/>
      <c r="N75" s="221"/>
      <c r="O75" s="196" t="str">
        <f t="shared" si="4"/>
        <v>nicht erfüllt</v>
      </c>
      <c r="P75" s="198">
        <f t="shared" si="5"/>
        <v>0</v>
      </c>
      <c r="Q75" s="401"/>
      <c r="R75" s="167"/>
      <c r="S75" s="116"/>
      <c r="T75" s="116"/>
    </row>
    <row r="76" spans="2:20" ht="13.5" customHeight="1" outlineLevel="1" thickBot="1" x14ac:dyDescent="0.3">
      <c r="C76" s="217"/>
      <c r="D76" s="229"/>
      <c r="E76" s="229"/>
      <c r="F76" s="195" t="str">
        <f t="shared" si="3"/>
        <v/>
      </c>
      <c r="G76" s="228"/>
      <c r="H76" s="224"/>
      <c r="I76" s="225"/>
      <c r="J76" s="225"/>
      <c r="K76" s="225"/>
      <c r="L76" s="225"/>
      <c r="M76" s="225"/>
      <c r="N76" s="225"/>
      <c r="O76" s="196" t="str">
        <f t="shared" si="4"/>
        <v>nicht erfüllt</v>
      </c>
      <c r="P76" s="199">
        <f t="shared" si="5"/>
        <v>0</v>
      </c>
      <c r="Q76" s="402"/>
      <c r="R76" s="200"/>
      <c r="S76" s="116"/>
      <c r="T76" s="116"/>
    </row>
    <row r="77" spans="2:20" ht="13.5" thickBot="1" x14ac:dyDescent="0.25">
      <c r="C77" s="170"/>
      <c r="D77" s="201"/>
      <c r="E77" s="201"/>
      <c r="F77" s="202">
        <f>SUM(F9:F76)</f>
        <v>0</v>
      </c>
      <c r="G77" s="203"/>
      <c r="H77" s="201"/>
      <c r="I77" s="204"/>
      <c r="J77" s="204"/>
      <c r="K77" s="204"/>
      <c r="L77" s="204"/>
      <c r="M77" s="205"/>
      <c r="N77" s="206"/>
      <c r="O77" s="207"/>
      <c r="P77" s="208">
        <f>IF(SUM(P9:P76)&gt;1,1,SUM(P9:P76))</f>
        <v>0</v>
      </c>
      <c r="Q77" s="177">
        <f>P77*100</f>
        <v>0</v>
      </c>
      <c r="R77" s="209"/>
      <c r="S77" s="116"/>
      <c r="T77" s="116"/>
    </row>
    <row r="78" spans="2:20" x14ac:dyDescent="0.2">
      <c r="C78" s="178"/>
      <c r="R78" s="141"/>
    </row>
    <row r="79" spans="2:20" ht="13.5" thickBot="1" x14ac:dyDescent="0.25">
      <c r="R79" s="141"/>
    </row>
    <row r="80" spans="2:20" ht="13.5" thickBot="1" x14ac:dyDescent="0.25">
      <c r="B80" s="182" t="s">
        <v>7</v>
      </c>
      <c r="C80" s="183"/>
      <c r="R80" s="141"/>
    </row>
    <row r="81" spans="2:18" x14ac:dyDescent="0.2">
      <c r="C81" s="186"/>
      <c r="R81" s="141"/>
    </row>
    <row r="82" spans="2:18" ht="16.5" x14ac:dyDescent="0.2">
      <c r="B82" s="403" t="s">
        <v>15</v>
      </c>
      <c r="C82" s="404"/>
      <c r="R82" s="141"/>
    </row>
    <row r="83" spans="2:18" ht="16.5" x14ac:dyDescent="0.2">
      <c r="B83" s="189" t="s">
        <v>28</v>
      </c>
      <c r="R83" s="141"/>
    </row>
    <row r="84" spans="2:18" ht="16.5" x14ac:dyDescent="0.2">
      <c r="B84" s="190" t="s">
        <v>29</v>
      </c>
      <c r="R84" s="141"/>
    </row>
    <row r="85" spans="2:18" ht="16.5" x14ac:dyDescent="0.2">
      <c r="B85" s="189" t="s">
        <v>6</v>
      </c>
      <c r="R85" s="141"/>
    </row>
    <row r="86" spans="2:18" ht="16.5" x14ac:dyDescent="0.2">
      <c r="B86" s="190" t="s">
        <v>5</v>
      </c>
      <c r="R86" s="141"/>
    </row>
    <row r="87" spans="2:18" ht="16.5" x14ac:dyDescent="0.2">
      <c r="B87" s="190" t="s">
        <v>30</v>
      </c>
      <c r="R87" s="141"/>
    </row>
    <row r="88" spans="2:18" ht="16.5" x14ac:dyDescent="0.2">
      <c r="B88" s="190" t="s">
        <v>14</v>
      </c>
      <c r="R88" s="141"/>
    </row>
    <row r="89" spans="2:18" ht="14.25" x14ac:dyDescent="0.2">
      <c r="B89" s="190"/>
      <c r="R89" s="141"/>
    </row>
    <row r="90" spans="2:18" ht="14.25" x14ac:dyDescent="0.2">
      <c r="B90" s="190"/>
      <c r="R90" s="141"/>
    </row>
    <row r="91" spans="2:18" ht="14.25" x14ac:dyDescent="0.2">
      <c r="B91" s="190"/>
      <c r="R91" s="141"/>
    </row>
    <row r="92" spans="2:18" x14ac:dyDescent="0.2">
      <c r="B92" s="210"/>
    </row>
    <row r="93" spans="2:18" x14ac:dyDescent="0.2">
      <c r="B93" s="210"/>
    </row>
    <row r="94" spans="2:18" x14ac:dyDescent="0.2">
      <c r="B94" s="210"/>
    </row>
    <row r="95" spans="2:18" x14ac:dyDescent="0.2">
      <c r="B95" s="210"/>
    </row>
    <row r="96" spans="2:18" x14ac:dyDescent="0.2">
      <c r="B96" s="210"/>
    </row>
    <row r="97" spans="2:2" x14ac:dyDescent="0.2">
      <c r="B97" s="210"/>
    </row>
    <row r="98" spans="2:2" x14ac:dyDescent="0.2">
      <c r="B98" s="210"/>
    </row>
  </sheetData>
  <sheetProtection password="A3A3" sheet="1" objects="1" scenarios="1"/>
  <mergeCells count="5">
    <mergeCell ref="H8:N8"/>
    <mergeCell ref="O8:P8"/>
    <mergeCell ref="Q67:Q76"/>
    <mergeCell ref="B82:C82"/>
    <mergeCell ref="O7:P7"/>
  </mergeCells>
  <conditionalFormatting sqref="G5">
    <cfRule type="expression" dxfId="0" priority="1">
      <formula>$G$5&gt;$E$5</formula>
    </cfRule>
  </conditionalFormatting>
  <dataValidations count="2">
    <dataValidation allowBlank="1" showInputMessage="1" sqref="H9:N76"/>
    <dataValidation type="list" allowBlank="1" showInputMessage="1" showErrorMessage="1" sqref="G9:G76">
      <formula1>"Ja,Nein"</formula1>
    </dataValidation>
  </dataValidations>
  <pageMargins left="0.7" right="0.7" top="0.78740157499999996" bottom="0.78740157499999996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DATA!$A$5:$A$12</xm:f>
          </x14:formula1>
          <xm:sqref>C9:C76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4:B12"/>
  <sheetViews>
    <sheetView topLeftCell="A4" workbookViewId="0">
      <selection activeCell="A11" sqref="A11:A12"/>
    </sheetView>
  </sheetViews>
  <sheetFormatPr baseColWidth="10" defaultRowHeight="12.75" x14ac:dyDescent="0.2"/>
  <cols>
    <col min="1" max="1" width="85.140625" customWidth="1"/>
    <col min="2" max="2" width="19.140625" customWidth="1"/>
    <col min="3" max="3" width="14" customWidth="1"/>
  </cols>
  <sheetData>
    <row r="4" spans="1:2" x14ac:dyDescent="0.2">
      <c r="A4" s="118" t="s">
        <v>121</v>
      </c>
      <c r="B4" s="118" t="s">
        <v>122</v>
      </c>
    </row>
    <row r="5" spans="1:2" x14ac:dyDescent="0.2">
      <c r="A5" t="s">
        <v>23</v>
      </c>
      <c r="B5" s="2" t="s">
        <v>116</v>
      </c>
    </row>
    <row r="6" spans="1:2" x14ac:dyDescent="0.2">
      <c r="A6" t="s">
        <v>24</v>
      </c>
      <c r="B6" s="2" t="s">
        <v>117</v>
      </c>
    </row>
    <row r="7" spans="1:2" x14ac:dyDescent="0.2">
      <c r="A7" t="s">
        <v>25</v>
      </c>
      <c r="B7" s="2" t="s">
        <v>118</v>
      </c>
    </row>
    <row r="8" spans="1:2" x14ac:dyDescent="0.2">
      <c r="A8" t="s">
        <v>26</v>
      </c>
      <c r="B8" s="2" t="s">
        <v>119</v>
      </c>
    </row>
    <row r="9" spans="1:2" x14ac:dyDescent="0.2">
      <c r="A9" t="s">
        <v>126</v>
      </c>
      <c r="B9" s="2" t="s">
        <v>120</v>
      </c>
    </row>
    <row r="10" spans="1:2" x14ac:dyDescent="0.2">
      <c r="A10" t="s">
        <v>127</v>
      </c>
    </row>
    <row r="11" spans="1:2" x14ac:dyDescent="0.2">
      <c r="A11" t="s">
        <v>172</v>
      </c>
    </row>
    <row r="12" spans="1:2" x14ac:dyDescent="0.2">
      <c r="A12" t="s">
        <v>167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Toolanleitung</vt:lpstr>
      <vt:lpstr>Abfrage_Ergebnis</vt:lpstr>
      <vt:lpstr>Öko_Möbel_Erg.Berechnung</vt:lpstr>
      <vt:lpstr>Öko_Möbel_QM</vt:lpstr>
      <vt:lpstr>TEC1.6_MÖbel_QM</vt:lpstr>
      <vt:lpstr>DATA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Beusing</dc:creator>
  <cp:lastModifiedBy>Andreas Schlag</cp:lastModifiedBy>
  <dcterms:created xsi:type="dcterms:W3CDTF">2016-06-15T09:27:53Z</dcterms:created>
  <dcterms:modified xsi:type="dcterms:W3CDTF">2018-06-25T11:07:30Z</dcterms:modified>
</cp:coreProperties>
</file>